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9C12F8EC-05D2-4739-B118-775CEEE202D6}" xr6:coauthVersionLast="47" xr6:coauthVersionMax="47" xr10:uidLastSave="{7DA94C24-E533-42CF-A016-B163893B0C4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2"/>
  <c r="M66" i="2"/>
  <c r="F27" i="4"/>
  <c r="M66" i="4"/>
  <c r="M66" i="7"/>
  <c r="F27" i="7"/>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3" i="6"/>
  <c r="D49" i="6" s="1"/>
  <c r="E43" i="7"/>
  <c r="C49" i="7" s="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23" i="10"/>
  <c r="C48" i="7"/>
  <c r="E42" i="7"/>
  <c r="C54" i="8"/>
  <c r="E48" i="8"/>
  <c r="H26" i="10"/>
  <c r="D26" i="10"/>
  <c r="I26" i="10"/>
  <c r="C26" i="10"/>
  <c r="E20" i="10"/>
  <c r="C20" i="10"/>
  <c r="G20" i="10"/>
  <c r="H20" i="10"/>
  <c r="D20" i="10"/>
  <c r="G23" i="10"/>
  <c r="G19" i="10"/>
  <c r="E44" i="7"/>
  <c r="H23" i="10"/>
  <c r="E22" i="10"/>
  <c r="E25" i="10"/>
  <c r="F20" i="10"/>
  <c r="D50" i="5" l="1"/>
  <c r="L49" i="7"/>
  <c r="B49" i="6"/>
  <c r="D49" i="7"/>
  <c r="E49" i="7" s="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D51" i="2" l="1"/>
  <c r="E51" i="2" s="1"/>
  <c r="L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B56" i="8"/>
  <c r="D64" i="5"/>
  <c r="E58" i="8"/>
  <c r="L64" i="8" s="1"/>
  <c r="L64" i="5"/>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B64" i="8"/>
  <c r="C64" i="8"/>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B70" i="3"/>
  <c r="M70" i="3" s="1"/>
  <c r="C69" i="7"/>
  <c r="D12" i="7" s="1"/>
  <c r="D70" i="6"/>
  <c r="F13" i="6" s="1"/>
  <c r="C63" i="8"/>
  <c r="C70" i="8" s="1"/>
  <c r="C70" i="6"/>
  <c r="D13" i="6" s="1"/>
  <c r="C70" i="3"/>
  <c r="D14" i="3" s="1"/>
  <c r="L63" i="8"/>
  <c r="L70" i="8" s="1"/>
  <c r="E63" i="3"/>
  <c r="C69" i="3" s="1"/>
  <c r="D15" i="3" s="1"/>
  <c r="L69" i="7"/>
  <c r="L70" i="3"/>
  <c r="L70" i="6"/>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6" l="1"/>
  <c r="Q13" i="3"/>
  <c r="O14" i="6"/>
  <c r="Q12" i="7"/>
  <c r="B69" i="6"/>
  <c r="M69" i="6" s="1"/>
  <c r="B69" i="3"/>
  <c r="M69" i="3" s="1"/>
  <c r="F14" i="6"/>
  <c r="E69" i="7"/>
  <c r="Q14" i="3"/>
  <c r="D13" i="3"/>
  <c r="L69" i="3"/>
  <c r="Q12" i="3" s="1"/>
  <c r="D12" i="3"/>
  <c r="Q15" i="7"/>
  <c r="Q13" i="8"/>
  <c r="E63" i="8"/>
  <c r="D69" i="8" s="1"/>
  <c r="F15" i="8" s="1"/>
  <c r="O13" i="3"/>
  <c r="D14" i="6"/>
  <c r="F14" i="3"/>
  <c r="E70" i="6"/>
  <c r="Q13" i="6"/>
  <c r="T13" i="6" s="1"/>
  <c r="Q14" i="6"/>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K12" i="7"/>
  <c r="F12" i="8"/>
  <c r="F35" i="3"/>
  <c r="K13" i="3"/>
  <c r="R14" i="6"/>
  <c r="S14" i="6" s="1"/>
  <c r="U14" i="6" s="1"/>
  <c r="J14" i="6" s="1"/>
  <c r="M14" i="6" s="1"/>
  <c r="G14" i="6" s="1"/>
  <c r="M15" i="13" s="1"/>
  <c r="T12" i="7"/>
  <c r="F32" i="6"/>
  <c r="F35" i="6"/>
  <c r="K15" i="7"/>
  <c r="T14" i="3"/>
  <c r="B69" i="8"/>
  <c r="M69" i="8" s="1"/>
  <c r="Q15" i="3"/>
  <c r="D15" i="6"/>
  <c r="T15" i="7"/>
  <c r="R12" i="7"/>
  <c r="S12" i="7" s="1"/>
  <c r="U12" i="7" s="1"/>
  <c r="J12" i="7" s="1"/>
  <c r="L12" i="7" s="1"/>
  <c r="S13" i="16" s="1"/>
  <c r="L69" i="8"/>
  <c r="O15" i="8" s="1"/>
  <c r="O15" i="3"/>
  <c r="R13" i="8"/>
  <c r="S13" i="8" s="1"/>
  <c r="O12" i="3"/>
  <c r="R12" i="3" s="1"/>
  <c r="S12" i="3" s="1"/>
  <c r="U12" i="3" s="1"/>
  <c r="J12" i="3" s="1"/>
  <c r="O12" i="6"/>
  <c r="R13" i="3"/>
  <c r="S13" i="3" s="1"/>
  <c r="U13" i="3" s="1"/>
  <c r="J13" i="3" s="1"/>
  <c r="T13" i="3"/>
  <c r="C69" i="8"/>
  <c r="T14" i="6"/>
  <c r="K14" i="6"/>
  <c r="R13" i="6"/>
  <c r="S13" i="6" s="1"/>
  <c r="U13" i="6" s="1"/>
  <c r="J13" i="6" s="1"/>
  <c r="M13" i="6" s="1"/>
  <c r="G13" i="6" s="1"/>
  <c r="G13" i="9" s="1"/>
  <c r="K13" i="6"/>
  <c r="R14" i="3"/>
  <c r="S14" i="3" s="1"/>
  <c r="U14" i="3" s="1"/>
  <c r="J14" i="3" s="1"/>
  <c r="M14" i="3" s="1"/>
  <c r="G14" i="3" s="1"/>
  <c r="I15" i="16" s="1"/>
  <c r="Q12" i="6"/>
  <c r="Q15" i="6"/>
  <c r="R14" i="8"/>
  <c r="S14" i="8" s="1"/>
  <c r="F15" i="3"/>
  <c r="F12" i="3"/>
  <c r="T13" i="8"/>
  <c r="R15" i="7"/>
  <c r="S15" i="7" s="1"/>
  <c r="U15" i="7" s="1"/>
  <c r="J15" i="7"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6" l="1"/>
  <c r="T12" i="3"/>
  <c r="L15" i="7"/>
  <c r="S16" i="16" s="1"/>
  <c r="U13" i="8"/>
  <c r="J13" i="8" s="1"/>
  <c r="M13" i="8" s="1"/>
  <c r="G13" i="8" s="1"/>
  <c r="Q14" i="13" s="1"/>
  <c r="O12" i="8"/>
  <c r="M12" i="7"/>
  <c r="R12" i="6"/>
  <c r="S12" i="6" s="1"/>
  <c r="U12" i="6" s="1"/>
  <c r="J12" i="6" s="1"/>
  <c r="M12" i="6" s="1"/>
  <c r="G12" i="6" s="1"/>
  <c r="L13" i="3"/>
  <c r="P14" i="16" s="1"/>
  <c r="Q12" i="8"/>
  <c r="M13" i="3"/>
  <c r="G13" i="3" s="1"/>
  <c r="I14" i="16" s="1"/>
  <c r="Q15" i="8"/>
  <c r="R15" i="8" s="1"/>
  <c r="S15" i="8" s="1"/>
  <c r="U15" i="8" s="1"/>
  <c r="J15" i="8" s="1"/>
  <c r="F32" i="8"/>
  <c r="F35" i="8"/>
  <c r="K15" i="3"/>
  <c r="T15" i="3"/>
  <c r="R15" i="3"/>
  <c r="S15" i="3" s="1"/>
  <c r="U15" i="3" s="1"/>
  <c r="J15" i="3" s="1"/>
  <c r="M15" i="3" s="1"/>
  <c r="G15" i="3" s="1"/>
  <c r="I16" i="16" s="1"/>
  <c r="R15" i="6"/>
  <c r="S15" i="6" s="1"/>
  <c r="U15" i="6" s="1"/>
  <c r="J15" i="6" s="1"/>
  <c r="L15" i="6" s="1"/>
  <c r="R16" i="16" s="1"/>
  <c r="T15" i="6"/>
  <c r="D15" i="8"/>
  <c r="D12" i="8"/>
  <c r="E69" i="8"/>
  <c r="I15" i="13"/>
  <c r="L14" i="3"/>
  <c r="P15" i="16" s="1"/>
  <c r="K12" i="6"/>
  <c r="E14" i="9"/>
  <c r="N30" i="3"/>
  <c r="L13" i="6"/>
  <c r="R14" i="16" s="1"/>
  <c r="T12" i="6"/>
  <c r="U14" i="8"/>
  <c r="J14" i="8" s="1"/>
  <c r="N30" i="8" s="1"/>
  <c r="M15" i="7"/>
  <c r="M14" i="13"/>
  <c r="M13" i="9"/>
  <c r="U14" i="13"/>
  <c r="U12" i="13"/>
  <c r="M11" i="9"/>
  <c r="T13" i="2"/>
  <c r="U8" i="6"/>
  <c r="J8" i="6" s="1"/>
  <c r="M8" i="6" s="1"/>
  <c r="G8" i="6" s="1"/>
  <c r="M9" i="13" s="1"/>
  <c r="R13" i="2"/>
  <c r="S13" i="2" s="1"/>
  <c r="V11" i="13"/>
  <c r="G14" i="9"/>
  <c r="Q12" i="9"/>
  <c r="R10" i="7"/>
  <c r="S10" i="7" s="1"/>
  <c r="U10" i="7" s="1"/>
  <c r="J10" i="7" s="1"/>
  <c r="T11" i="7"/>
  <c r="T10" i="7"/>
  <c r="L8" i="2"/>
  <c r="N9" i="16" s="1"/>
  <c r="Y13" i="13"/>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4" i="2" l="1"/>
  <c r="J14" i="2" s="1"/>
  <c r="M14" i="2" s="1"/>
  <c r="G14" i="2" s="1"/>
  <c r="E15" i="16" s="1"/>
  <c r="Y16" i="13"/>
  <c r="Q15" i="9"/>
  <c r="U11" i="7"/>
  <c r="J11" i="7" s="1"/>
  <c r="L11" i="7" s="1"/>
  <c r="S12" i="16" s="1"/>
  <c r="L13" i="8"/>
  <c r="T14" i="16" s="1"/>
  <c r="K14" i="16"/>
  <c r="I13" i="9"/>
  <c r="K12" i="8"/>
  <c r="L12" i="6"/>
  <c r="R13" i="16" s="1"/>
  <c r="I14" i="13"/>
  <c r="T12" i="8"/>
  <c r="R12" i="8"/>
  <c r="S12" i="8" s="1"/>
  <c r="E13" i="9"/>
  <c r="V14" i="13"/>
  <c r="N13" i="9"/>
  <c r="P13" i="9"/>
  <c r="K15" i="8"/>
  <c r="L15" i="8" s="1"/>
  <c r="T16" i="16" s="1"/>
  <c r="T15" i="8"/>
  <c r="M15" i="6"/>
  <c r="G15" i="6" s="1"/>
  <c r="M16" i="13" s="1"/>
  <c r="L14" i="8"/>
  <c r="T15" i="16" s="1"/>
  <c r="E15" i="9"/>
  <c r="L15" i="3"/>
  <c r="P16" i="16" s="1"/>
  <c r="I16" i="13"/>
  <c r="X14" i="13"/>
  <c r="V15" i="13"/>
  <c r="N14" i="9"/>
  <c r="U13" i="2"/>
  <c r="J13" i="2" s="1"/>
  <c r="M13" i="2" s="1"/>
  <c r="G13" i="2" s="1"/>
  <c r="E14" i="16" s="1"/>
  <c r="M14" i="8"/>
  <c r="G14" i="8" s="1"/>
  <c r="K15" i="16" s="1"/>
  <c r="L8" i="6"/>
  <c r="R9" i="16" s="1"/>
  <c r="L10" i="7"/>
  <c r="S11" i="16" s="1"/>
  <c r="X16" i="13"/>
  <c r="P15" i="9"/>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X13" i="13"/>
  <c r="U12" i="8"/>
  <c r="J12" i="8" s="1"/>
  <c r="M12" i="8" s="1"/>
  <c r="G12" i="8" s="1"/>
  <c r="K13" i="16" s="1"/>
  <c r="Z14" i="13"/>
  <c r="R13" i="9"/>
  <c r="P12" i="9"/>
  <c r="G15" i="9"/>
  <c r="Z15" i="13"/>
  <c r="R14" i="9"/>
  <c r="N15" i="9"/>
  <c r="V16" i="13"/>
  <c r="C13" i="9"/>
  <c r="Q15" i="13"/>
  <c r="E14" i="13"/>
  <c r="L13" i="2"/>
  <c r="N14" i="16" s="1"/>
  <c r="I14" i="9"/>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L12" i="8"/>
  <c r="T13" i="16" s="1"/>
  <c r="Q13" i="13"/>
  <c r="R12" i="9"/>
  <c r="T14" i="13"/>
  <c r="L13" i="9"/>
  <c r="R9" i="9"/>
  <c r="Z10" i="13"/>
  <c r="R10" i="9"/>
  <c r="Z11" i="13"/>
  <c r="I11" i="9"/>
  <c r="Q12" i="13"/>
  <c r="I10" i="9"/>
  <c r="Q11" i="13"/>
  <c r="R11" i="9"/>
  <c r="Z12" i="13"/>
  <c r="Z13" i="13" l="1"/>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<sst xmlns="http://schemas.openxmlformats.org/spreadsheetml/2006/main" count="654" uniqueCount="141">
  <si>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</si>
  <si>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</si>
  <si>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</si>
  <si>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</si>
  <si>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</si>
  <si>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</si>
  <si>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</si>
  <si>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</si>
  <si>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</si>
  <si>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</si>
  <si>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</si>
  <si>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</si>
  <si>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</si>
  <si>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</si>
  <si>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</si>
  <si>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</si>
  <si>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</si>
  <si>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</si>
  <si>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</si>
  <si>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</si>
  <si>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</si>
  <si>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</si>
  <si>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</si>
  <si>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</si>
  <si>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</si>
  <si>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</si>
  <si>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</si>
  <si>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</si>
  <si>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</si>
  <si>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</si>
  <si>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</si>
  <si>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</si>
  <si>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</si>
  <si>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</si>
  <si>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</si>
  <si>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</si>
  <si>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</si>
  <si>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</si>
  <si>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</si>
  <si>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</si>
  <si>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</si>
  <si>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</si>
  <si>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</si>
  <si>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</si>
  <si>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</si>
  <si>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</si>
  <si>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</si>
  <si>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</si>
  <si>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</si>
  <si>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</si>
  <si>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</si>
  <si>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</si>
  <si>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</si>
  <si>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</si>
  <si>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</si>
  <si>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</si>
  <si>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</si>
  <si>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</si>
  <si>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</si>
  <si>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</si>
  <si>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</si>
  <si>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</si>
  <si>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</si>
  <si>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</si>
  <si>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</si>
  <si>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</si>
  <si>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</si>
  <si>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</si>
  <si>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</si>
  <si>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</si>
  <si>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</si>
  <si>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</si>
  <si>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</si>
  <si>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</si>
  <si>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</si>
  <si>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</si>
  <si>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</si>
  <si>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</si>
  <si>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</si>
  <si>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</si>
  <si>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</si>
  <si>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</si>
  <si>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</si>
  <si>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</si>
  <si>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</si>
  <si>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</si>
  <si>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</si>
  <si>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</si>
  <si>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</si>
  <si>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</si>
  <si>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</si>
  <si>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</si>
  <si>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</si>
  <si>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</si>
  <si>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</si>
  <si>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</si>
  <si>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</si>
  <si>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</si>
  <si>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</si>
  <si>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</si>
  <si>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</si>
  <si>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</si>
  <si>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</si>
  <si>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</si>
  <si>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</si>
  <si>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</si>
  <si>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</si>
  <si>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</si>
  <si>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</si>
  <si>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</si>
  <si>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</si>
  <si>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</si>
  <si>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</si>
  <si>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</si>
  <si>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</si>
  <si>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</si>
  <si>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</si>
  <si>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</si>
  <si>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</si>
  <si>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</si>
  <si>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</si>
  <si>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</si>
  <si>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</si>
  <si>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</si>
  <si>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</si>
  <si>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</si>
  <si>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</si>
  <si>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</si>
  <si>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</si>
  <si>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</si>
  <si>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</si>
  <si>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</si>
  <si>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</si>
  <si>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</si>
  <si>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</si>
  <si>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</si>
  <si>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Gladwin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</si>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</sst>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Gladwin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N=27</c:v>
                </c:pt>
                <c:pt idx="3">
                  <c:v>Petitions, total N=47</c:v>
                </c:pt>
                <c:pt idx="4">
                  <c:v>Detentions, total N=1</c:v>
                </c:pt>
                <c:pt idx="5">
                  <c:v>Referrals, total N=91</c:v>
                </c:pt>
                <c:pt idx="6">
                  <c:v>Arrests, total N=84</c:v>
                </c:pt>
                <c:pt idx="7">
                  <c:v>Population, total N=2211</c:v>
                </c:pt>
              </c:strCache>
            </c:strRef>
          </c:cat>
          <c:val>
            <c:numRef>
              <c:f>'Stacked 100%'!$B$7:$B$14</c:f>
              <c:numCache>
                <c:formatCode>0%</c:formatCode>
                <c:ptCount val="8"/>
                <c:pt idx="0">
                  <c:v>0</c:v>
                </c:pt>
                <c:pt idx="1">
                  <c:v>0</c:v>
                </c:pt>
                <c:pt idx="2">
                  <c:v>3.7037037037037035E-2</c:v>
                </c:pt>
                <c:pt idx="3">
                  <c:v>4.2553191489361701E-2</c:v>
                </c:pt>
                <c:pt idx="4">
                  <c:v>0</c:v>
                </c:pt>
                <c:pt idx="5">
                  <c:v>2.197802197802198E-2</c:v>
                </c:pt>
                <c:pt idx="6">
                  <c:v>5.9523809523809521E-2</c:v>
                </c:pt>
                <c:pt idx="7">
                  <c:v>1.7186793306196293E-2</c:v>
                </c:pt>
              </c:numCache>
            </c:numRef>
          </c:val>
          <c:extLst>
            <c:ext xmlns:c16="http://schemas.microsoft.com/office/drawing/2014/chart" uri="{C3380CC4-5D6E-409C-BE32-E72D297353CC}">
              <c16:uniqueId val="{00000000-6A43-44B2-A92D-55E2CEC624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N=27</c:v>
                </c:pt>
                <c:pt idx="3">
                  <c:v>Petitions, total N=47</c:v>
                </c:pt>
                <c:pt idx="4">
                  <c:v>Detentions, total N=1</c:v>
                </c:pt>
                <c:pt idx="5">
                  <c:v>Referrals, total N=91</c:v>
                </c:pt>
                <c:pt idx="6">
                  <c:v>Arrests, total N=84</c:v>
                </c:pt>
                <c:pt idx="7">
                  <c:v>Population, total N=2211</c:v>
                </c:pt>
              </c:strCache>
            </c:strRef>
          </c:cat>
          <c:val>
            <c:numRef>
              <c:f>'Stacked 100%'!$C$7:$C$14</c:f>
              <c:numCache>
                <c:formatCode>0%</c:formatCode>
                <c:ptCount val="8"/>
                <c:pt idx="0">
                  <c:v>0</c:v>
                </c:pt>
                <c:pt idx="1">
                  <c:v>0</c:v>
                </c:pt>
                <c:pt idx="2">
                  <c:v>0</c:v>
                </c:pt>
                <c:pt idx="3">
                  <c:v>0</c:v>
                </c:pt>
                <c:pt idx="4">
                  <c:v>0</c:v>
                </c:pt>
                <c:pt idx="5">
                  <c:v>0</c:v>
                </c:pt>
                <c:pt idx="6">
                  <c:v>1.1904761904761904E-2</c:v>
                </c:pt>
                <c:pt idx="7">
                  <c:v>3.9800995024875621E-2</c:v>
                </c:pt>
              </c:numCache>
            </c:numRef>
          </c:val>
          <c:extLst>
            <c:ext xmlns:c16="http://schemas.microsoft.com/office/drawing/2014/chart" uri="{C3380CC4-5D6E-409C-BE32-E72D297353CC}">
              <c16:uniqueId val="{00000001-6A43-44B2-A92D-55E2CEC624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N=7</c:v>
                </c:pt>
                <c:pt idx="2">
                  <c:v>Delinquent Findings, total N=27</c:v>
                </c:pt>
                <c:pt idx="3">
                  <c:v>Petitions, total N=47</c:v>
                </c:pt>
                <c:pt idx="4">
                  <c:v>Detentions, total N=1</c:v>
                </c:pt>
                <c:pt idx="5">
                  <c:v>Referrals, total N=91</c:v>
                </c:pt>
                <c:pt idx="6">
                  <c:v>Arrests, total N=84</c:v>
                </c:pt>
                <c:pt idx="7">
                  <c:v>Population, total N=2211</c:v>
                </c:pt>
              </c:strCache>
            </c:strRef>
          </c:cat>
          <c:val>
            <c:numRef>
              <c:f>'Stacked 100%'!$H$7:$H$14</c:f>
              <c:numCache>
                <c:formatCode>0%</c:formatCode>
                <c:ptCount val="8"/>
                <c:pt idx="0">
                  <c:v>0</c:v>
                </c:pt>
                <c:pt idx="1">
                  <c:v>0</c:v>
                </c:pt>
                <c:pt idx="2">
                  <c:v>0</c:v>
                </c:pt>
                <c:pt idx="3">
                  <c:v>0</c:v>
                </c:pt>
                <c:pt idx="4">
                  <c:v>0</c:v>
                </c:pt>
                <c:pt idx="5">
                  <c:v>0</c:v>
                </c:pt>
                <c:pt idx="6">
                  <c:v>0</c:v>
                </c:pt>
                <c:pt idx="7">
                  <c:v>4.7048994982326962E-6</c:v>
                </c:pt>
              </c:numCache>
            </c:numRef>
          </c:val>
          <c:extLst>
            <c:ext xmlns:c16="http://schemas.microsoft.com/office/drawing/2014/chart" uri="{C3380CC4-5D6E-409C-BE32-E72D297353CC}">
              <c16:uniqueId val="{00000002-6A43-44B2-A92D-55E2CEC624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N=27</c:v>
                </c:pt>
                <c:pt idx="3">
                  <c:v>Petitions, total N=47</c:v>
                </c:pt>
                <c:pt idx="4">
                  <c:v>Detentions, total N=1</c:v>
                </c:pt>
                <c:pt idx="5">
                  <c:v>Referrals, total N=91</c:v>
                </c:pt>
                <c:pt idx="6">
                  <c:v>Arrests, total N=84</c:v>
                </c:pt>
                <c:pt idx="7">
                  <c:v>Population, total N=2211</c:v>
                </c:pt>
              </c:strCache>
            </c:strRef>
          </c:cat>
          <c:val>
            <c:numRef>
              <c:f>'Stacked 100%'!$I$7:$I$14</c:f>
              <c:numCache>
                <c:formatCode>0%</c:formatCode>
                <c:ptCount val="8"/>
                <c:pt idx="0">
                  <c:v>0</c:v>
                </c:pt>
                <c:pt idx="1">
                  <c:v>0.7142857142857143</c:v>
                </c:pt>
                <c:pt idx="2">
                  <c:v>0.70370370370370372</c:v>
                </c:pt>
                <c:pt idx="3">
                  <c:v>0.76595744680851063</c:v>
                </c:pt>
                <c:pt idx="4">
                  <c:v>1</c:v>
                </c:pt>
                <c:pt idx="5">
                  <c:v>0.8351648351648352</c:v>
                </c:pt>
                <c:pt idx="6">
                  <c:v>0.8571428571428571</c:v>
                </c:pt>
                <c:pt idx="7">
                  <c:v>0.93260967887833557</c:v>
                </c:pt>
              </c:numCache>
            </c:numRef>
          </c:val>
          <c:extLst>
            <c:ext xmlns:c16="http://schemas.microsoft.com/office/drawing/2014/chart" uri="{C3380CC4-5D6E-409C-BE32-E72D297353CC}">
              <c16:uniqueId val="{00000003-6A43-44B2-A92D-55E2CEC624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N=7</c:v>
                </c:pt>
                <c:pt idx="2">
                  <c:v>Delinquent Findings, total N=27</c:v>
                </c:pt>
                <c:pt idx="3">
                  <c:v>Petitions, total N=47</c:v>
                </c:pt>
                <c:pt idx="4">
                  <c:v>Detentions, total N=1</c:v>
                </c:pt>
                <c:pt idx="5">
                  <c:v>Referrals, total N=91</c:v>
                </c:pt>
                <c:pt idx="6">
                  <c:v>Arrests, total N=84</c:v>
                </c:pt>
                <c:pt idx="7">
                  <c:v>Population, total N=2211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A43-44B2-A92D-55E2CEC624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2211</v>
      </c>
      <c r="C6" s="11">
        <v>2062</v>
      </c>
      <c r="D6" s="11">
        <v>38</v>
      </c>
      <c r="E6" s="11">
        <v>88</v>
      </c>
      <c r="F6" s="11">
        <v>6</v>
      </c>
      <c r="G6" s="11"/>
      <c r="H6" s="11">
        <v>17</v>
      </c>
      <c r="I6" s="11"/>
      <c r="J6" s="91">
        <f>SUM(D6:I6)</f>
        <v>149</v>
      </c>
      <c r="K6" s="92"/>
    </row>
    <row r="7" spans="1:11" ht="15.75" customHeight="1" thickBot="1">
      <c r="A7" s="10" t="s">
        <v>8</v>
      </c>
      <c r="B7" s="11">
        <f t="shared" ref="B7:B15" si="0">SUM(C7:I7)+K7</f>
        <v>84</v>
      </c>
      <c r="C7" s="11">
        <v>72</v>
      </c>
      <c r="D7" s="11">
        <v>5</v>
      </c>
      <c r="E7" s="11">
        <v>1</v>
      </c>
      <c r="F7" s="11">
        <v>0</v>
      </c>
      <c r="G7" s="11">
        <v>0</v>
      </c>
      <c r="H7" s="11">
        <v>0</v>
      </c>
      <c r="I7" s="11"/>
      <c r="J7" s="91">
        <f t="shared" ref="J7:J15" si="1">SUM(D7:I7)</f>
        <v>6</v>
      </c>
      <c r="K7" s="92">
        <v>6</v>
      </c>
    </row>
    <row r="8" spans="1:11" ht="15.75" customHeight="1" thickBot="1">
      <c r="A8" s="10" t="s">
        <v>9</v>
      </c>
      <c r="B8" s="11">
        <f t="shared" si="0"/>
        <v>91</v>
      </c>
      <c r="C8" s="11">
        <v>76</v>
      </c>
      <c r="D8" s="11">
        <v>2</v>
      </c>
      <c r="E8" s="11"/>
      <c r="F8" s="11"/>
      <c r="G8" s="11"/>
      <c r="H8" s="11"/>
      <c r="I8" s="11"/>
      <c r="J8" s="91">
        <f t="shared" si="1"/>
        <v>2</v>
      </c>
      <c r="K8" s="92">
        <v>13</v>
      </c>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47</v>
      </c>
      <c r="C11" s="11">
        <v>36</v>
      </c>
      <c r="D11" s="11">
        <v>2</v>
      </c>
      <c r="E11" s="11"/>
      <c r="F11" s="11"/>
      <c r="G11" s="11"/>
      <c r="H11" s="11"/>
      <c r="I11" s="11"/>
      <c r="J11" s="91">
        <f t="shared" si="1"/>
        <v>2</v>
      </c>
      <c r="K11" s="92">
        <v>9</v>
      </c>
    </row>
    <row r="12" spans="1:11" ht="15.75" customHeight="1" thickBot="1">
      <c r="A12" s="10" t="s">
        <v>13</v>
      </c>
      <c r="B12" s="11">
        <f t="shared" si="0"/>
        <v>27</v>
      </c>
      <c r="C12" s="11">
        <v>19</v>
      </c>
      <c r="D12" s="11">
        <v>1</v>
      </c>
      <c r="E12" s="11"/>
      <c r="F12" s="11"/>
      <c r="G12" s="11"/>
      <c r="H12" s="11"/>
      <c r="I12" s="11"/>
      <c r="J12" s="91">
        <f t="shared" si="1"/>
        <v>1</v>
      </c>
      <c r="K12" s="92">
        <v>7</v>
      </c>
    </row>
    <row r="13" spans="1:11" ht="15.75" customHeight="1" thickBot="1">
      <c r="A13" s="10" t="s">
        <v>133</v>
      </c>
      <c r="B13" s="11">
        <f t="shared" si="0"/>
        <v>46</v>
      </c>
      <c r="C13" s="11">
        <v>41</v>
      </c>
      <c r="D13" s="11">
        <v>1</v>
      </c>
      <c r="E13" s="11"/>
      <c r="F13" s="11"/>
      <c r="G13" s="11"/>
      <c r="H13" s="11"/>
      <c r="I13" s="11"/>
      <c r="J13" s="91">
        <f t="shared" si="1"/>
        <v>1</v>
      </c>
      <c r="K13" s="92">
        <v>4</v>
      </c>
    </row>
    <row r="14" spans="1:11" ht="26.25" customHeight="1" thickBot="1">
      <c r="A14" s="10" t="s">
        <v>123</v>
      </c>
      <c r="B14" s="11">
        <f t="shared" si="0"/>
        <v>7</v>
      </c>
      <c r="C14" s="11">
        <v>5</v>
      </c>
      <c r="D14" s="11"/>
      <c r="E14" s="11"/>
      <c r="F14" s="11"/>
      <c r="G14" s="11"/>
      <c r="H14" s="11"/>
      <c r="I14" s="11"/>
      <c r="J14" s="91">
        <f t="shared" si="1"/>
        <v>0</v>
      </c>
      <c r="K14" s="92">
        <v>2</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72</v>
      </c>
      <c r="Q7" s="42">
        <f>C6-C7</f>
        <v>1990</v>
      </c>
      <c r="R7" s="42">
        <f t="shared" ref="R7:R15" si="5">SUM(N7:Q7)</f>
        <v>2062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76</v>
      </c>
      <c r="D8" s="34">
        <f>IF((AND(C67&gt;0,C8&gt;0)),(C8/C67),0)</f>
        <v>105.55555555555556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76</v>
      </c>
      <c r="Q8" s="42">
        <f>(C$67*L67)-C8</f>
        <v>-4</v>
      </c>
      <c r="R8" s="42">
        <f t="shared" si="5"/>
        <v>72.05</v>
      </c>
      <c r="S8" s="30">
        <f t="shared" si="6"/>
        <v>1040.402</v>
      </c>
      <c r="T8" s="30">
        <f t="shared" si="7"/>
        <v>-1080.72</v>
      </c>
      <c r="U8" s="31">
        <f t="shared" si="8"/>
        <v>-0.9626933895921238</v>
      </c>
    </row>
    <row r="9" spans="2:21" ht="18" customHeight="1">
      <c r="B9" s="32" t="str">
        <f>'Data Entry'!A9</f>
        <v xml:space="preserve">4. Cases Diverted </v>
      </c>
      <c r="C9" s="33">
        <f>'Data Entry'!C9</f>
        <v>3</v>
      </c>
      <c r="D9" s="34">
        <f>IF((AND(C68&gt;0,C9&gt;0)),((C9/C68)),0)</f>
        <v>3.9473684210526314</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73</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1.3157894736842106</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47.368421052631575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40</v>
      </c>
      <c r="R11" s="42">
        <f t="shared" si="5"/>
        <v>76</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52.777777777777779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17</v>
      </c>
      <c r="R12" s="42">
        <f t="shared" si="5"/>
        <v>36</v>
      </c>
      <c r="S12" s="30">
        <f t="shared" si="6"/>
        <v>0</v>
      </c>
      <c r="T12" s="30">
        <f t="shared" si="7"/>
        <v>0</v>
      </c>
      <c r="U12" s="31" t="str">
        <f t="shared" si="8"/>
        <v>- -</v>
      </c>
    </row>
    <row r="13" spans="2:21" ht="18" customHeight="1">
      <c r="B13" s="32" t="str">
        <f>'Data Entry'!A13</f>
        <v>8. Cases Resulting in Probation Placement</v>
      </c>
      <c r="C13" s="33">
        <f>'Data Entry'!C13</f>
        <v>41</v>
      </c>
      <c r="D13" s="34">
        <f>IF(((AND(C70&gt;0,C13&gt;0))),(C13/(C70)),0)</f>
        <v>215.78947368421052</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41</v>
      </c>
      <c r="Q13" s="42">
        <f>(C70*L70)-C13</f>
        <v>-22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14</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0</v>
      </c>
      <c r="E42" s="56">
        <f>MAX(C42:D42)</f>
        <v>2.0619999999999998</v>
      </c>
      <c r="G42" s="1" t="str">
        <f>B42</f>
        <v>per 1000 youth</v>
      </c>
      <c r="L42" s="57">
        <v>1000</v>
      </c>
      <c r="M42" s="57"/>
      <c r="R42" s="49"/>
    </row>
    <row r="43" spans="2:18" ht="15" hidden="1" customHeight="1">
      <c r="B43" s="49" t="s">
        <v>87</v>
      </c>
      <c r="C43" s="56">
        <f>C7/100</f>
        <v>0.72</v>
      </c>
      <c r="D43" s="56">
        <f>E7/100</f>
        <v>0</v>
      </c>
      <c r="E43" s="56">
        <f>MAX(C43:D43,0)</f>
        <v>0.72</v>
      </c>
      <c r="G43" s="1" t="str">
        <f>B43</f>
        <v>per 100 arrests</v>
      </c>
      <c r="L43" s="57">
        <v>100</v>
      </c>
      <c r="M43" s="57"/>
      <c r="R43" s="49"/>
    </row>
    <row r="44" spans="2:18" ht="15" hidden="1" customHeight="1">
      <c r="B44" s="49" t="s">
        <v>88</v>
      </c>
      <c r="C44" s="56">
        <f>C8/100</f>
        <v>0.76</v>
      </c>
      <c r="D44" s="56">
        <f>E8/100</f>
        <v>0</v>
      </c>
      <c r="E44" s="56">
        <f>MAX(C44:D44,0)</f>
        <v>0.76</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0</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0</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0</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0</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Entry'!J6</f>
        <v>149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Entry'!J7</f>
        <v>6</v>
      </c>
      <c r="F7" s="34">
        <f>IF((AND($E$7&gt;0,$D$66&gt;0)),($E$7/$D$66),0)</f>
        <v>40.26845637583893</v>
      </c>
      <c r="G7" s="39">
        <f t="shared" ref="G7:G15" si="0">IF(L$6=100,"*",IF(M7=FALSE,"--",IF(K7=20,"**",($F7/$D7))))</f>
        <v>1.1532438478747205</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6</v>
      </c>
      <c r="O7" s="42">
        <f>E6-E7</f>
        <v>143</v>
      </c>
      <c r="P7" s="42">
        <f t="shared" ref="P7:P15" si="4">C7</f>
        <v>72</v>
      </c>
      <c r="Q7" s="42">
        <f>C6-C7</f>
        <v>1990</v>
      </c>
      <c r="R7" s="42">
        <f t="shared" ref="R7:R15" si="5">SUM(N7:Q7)</f>
        <v>2211</v>
      </c>
      <c r="S7" s="30">
        <f t="shared" ref="S7:S15" si="6">R7*((((N7*Q7)-(O7*P7))^2))</f>
        <v>5975749296</v>
      </c>
      <c r="T7" s="30">
        <f t="shared" ref="T7:T15" si="7">(N7+O7)*(P7+Q7)*(N7+P7)*(O7+Q7)</f>
        <v>51116415012</v>
      </c>
      <c r="U7" s="31">
        <f t="shared" ref="U7:U15" si="8">IF((S7&gt;0),S7/T7,"- -")</f>
        <v>0.11690470262042327</v>
      </c>
    </row>
    <row r="8" spans="2:21" ht="18" customHeight="1">
      <c r="B8" s="32" t="str">
        <f>'Data Entry'!A8</f>
        <v>3. Refer to Juvenile Court</v>
      </c>
      <c r="C8" s="33">
        <f>'Data Entry'!C8</f>
        <v>76</v>
      </c>
      <c r="D8" s="34">
        <f>IF((AND(C67&gt;0,C8&gt;0)),(C8/C67),0)</f>
        <v>105.55555555555556</v>
      </c>
      <c r="E8" s="33">
        <f>'Data Entry'!J8</f>
        <v>2</v>
      </c>
      <c r="F8" s="34">
        <f>IF((AND($E$8&gt;0,$D$67&gt;0)),($E8/$D67),0)</f>
        <v>33.333333333333336</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4.05</v>
      </c>
      <c r="P8" s="42">
        <f t="shared" si="4"/>
        <v>76</v>
      </c>
      <c r="Q8" s="42">
        <f>(C$67*L67)-C8</f>
        <v>-4</v>
      </c>
      <c r="R8" s="42">
        <f t="shared" si="5"/>
        <v>78.05</v>
      </c>
      <c r="S8" s="30">
        <f t="shared" si="6"/>
        <v>7783898.4020000007</v>
      </c>
      <c r="T8" s="30">
        <f t="shared" si="7"/>
        <v>1698.8399999999938</v>
      </c>
      <c r="U8" s="31">
        <f t="shared" si="8"/>
        <v>4581.890232158431</v>
      </c>
    </row>
    <row r="9" spans="2:21" ht="18" customHeight="1">
      <c r="B9" s="32" t="str">
        <f>'Data Entry'!A9</f>
        <v xml:space="preserve">4. Cases Diverted </v>
      </c>
      <c r="C9" s="33">
        <f>'Data Entry'!C9</f>
        <v>3</v>
      </c>
      <c r="D9" s="34">
        <f>IF((AND(C68&gt;0,C9&gt;0)),((C9/C68)),0)</f>
        <v>3.9473684210526314</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3</v>
      </c>
      <c r="Q9" s="42">
        <f>(C$68*L68)-C9</f>
        <v>73</v>
      </c>
      <c r="R9" s="42">
        <f t="shared" si="5"/>
        <v>78</v>
      </c>
      <c r="S9" s="30">
        <f t="shared" si="6"/>
        <v>2808</v>
      </c>
      <c r="T9" s="30">
        <f t="shared" si="7"/>
        <v>34200</v>
      </c>
      <c r="U9" s="31">
        <f t="shared" si="8"/>
        <v>8.2105263157894737E-2</v>
      </c>
    </row>
    <row r="10" spans="2:21" ht="18" customHeight="1">
      <c r="B10" s="32" t="str">
        <f>'Data Entry'!A10</f>
        <v>5. Cases Involving Secure Detention</v>
      </c>
      <c r="C10" s="33">
        <f>'Data Entry'!C10</f>
        <v>1</v>
      </c>
      <c r="D10" s="34">
        <f>IF(((AND(C68&gt;0,C10&gt;0))),(C10/(C68)),0)</f>
        <v>1.3157894736842106</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v>
      </c>
      <c r="Q10" s="42">
        <f>(C$68*L68)-C10</f>
        <v>75</v>
      </c>
      <c r="R10" s="42">
        <f t="shared" si="5"/>
        <v>78</v>
      </c>
      <c r="S10" s="30">
        <f t="shared" si="6"/>
        <v>312</v>
      </c>
      <c r="T10" s="30">
        <f t="shared" si="7"/>
        <v>11704</v>
      </c>
      <c r="U10" s="31">
        <f t="shared" si="8"/>
        <v>2.6657552973342446E-2</v>
      </c>
    </row>
    <row r="11" spans="2:21" ht="18" customHeight="1">
      <c r="B11" s="32" t="str">
        <f>'Data Entry'!A11</f>
        <v>6. Cases Petitioned (Charge Filed)</v>
      </c>
      <c r="C11" s="33">
        <f>'Data Entry'!C11</f>
        <v>36</v>
      </c>
      <c r="D11" s="34">
        <f>IF(((AND(C68&gt;0,C11&gt;0))),(C11/(C68)),0)</f>
        <v>47.368421052631575</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36</v>
      </c>
      <c r="Q11" s="42">
        <f>(C$68*L68)-C11</f>
        <v>40</v>
      </c>
      <c r="R11" s="42">
        <f t="shared" si="5"/>
        <v>78</v>
      </c>
      <c r="S11" s="30">
        <f t="shared" si="6"/>
        <v>499200</v>
      </c>
      <c r="T11" s="30">
        <f t="shared" si="7"/>
        <v>231040</v>
      </c>
      <c r="U11" s="31">
        <f t="shared" si="8"/>
        <v>2.1606648199445981</v>
      </c>
    </row>
    <row r="12" spans="2:21" ht="18" customHeight="1">
      <c r="B12" s="32" t="str">
        <f>'Data Entry'!A12</f>
        <v>7. Cases Resulting in Delinquent Findings</v>
      </c>
      <c r="C12" s="33">
        <f>'Data Entry'!C12</f>
        <v>19</v>
      </c>
      <c r="D12" s="34">
        <f>IF(((AND(C69&gt;0,C12&gt;0))),(C12/(C69)),0)</f>
        <v>52.777777777777779</v>
      </c>
      <c r="E12" s="33">
        <f>'Data Entry'!J12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19</v>
      </c>
      <c r="Q12" s="42">
        <f>(C69*L69)-C12</f>
        <v>17</v>
      </c>
      <c r="R12" s="42">
        <f t="shared" si="5"/>
        <v>38</v>
      </c>
      <c r="S12" s="30">
        <f t="shared" si="6"/>
        <v>152</v>
      </c>
      <c r="T12" s="30">
        <f t="shared" si="7"/>
        <v>25920</v>
      </c>
      <c r="U12" s="31">
        <f t="shared" si="8"/>
        <v>5.8641975308641979E-3</v>
      </c>
    </row>
    <row r="13" spans="2:21" ht="18" customHeight="1">
      <c r="B13" s="32" t="str">
        <f>'Data Entry'!A13</f>
        <v>8. Cases Resulting in Probation Placement</v>
      </c>
      <c r="C13" s="33">
        <f>'Data Entry'!C13</f>
        <v>41</v>
      </c>
      <c r="D13" s="34">
        <f>IF(((AND(C70&gt;0,C13&gt;0))),(C13/(C70)),0)</f>
        <v>215.78947368421052</v>
      </c>
      <c r="E13" s="33">
        <f>'Data Entry'!J13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41</v>
      </c>
      <c r="Q13" s="42">
        <f>(C70*L70)-C13</f>
        <v>-22</v>
      </c>
      <c r="R13" s="42">
        <f t="shared" si="5"/>
        <v>20</v>
      </c>
      <c r="S13" s="30">
        <f t="shared" si="6"/>
        <v>9680</v>
      </c>
      <c r="T13" s="30">
        <f t="shared" si="7"/>
        <v>-17556</v>
      </c>
      <c r="U13" s="31">
        <f t="shared" si="8"/>
        <v>-0.55137844611528819</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5</v>
      </c>
      <c r="Q14" s="42">
        <f>(C70*L70)-C14</f>
        <v>14</v>
      </c>
      <c r="R14" s="42">
        <f t="shared" si="5"/>
        <v>20</v>
      </c>
      <c r="S14" s="30">
        <f t="shared" si="6"/>
        <v>500</v>
      </c>
      <c r="T14" s="30">
        <f t="shared" si="7"/>
        <v>1425</v>
      </c>
      <c r="U14" s="31">
        <f t="shared" si="8"/>
        <v>0.35087719298245612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36</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0.14899999999999999</v>
      </c>
      <c r="E42" s="56">
        <f>MAX(C42:D42)</f>
        <v>2.0619999999999998</v>
      </c>
      <c r="G42" s="1" t="str">
        <f>B42</f>
        <v>per 1000 youth</v>
      </c>
      <c r="L42" s="57">
        <v>1000</v>
      </c>
      <c r="M42" s="57"/>
      <c r="R42" s="49"/>
    </row>
    <row r="43" spans="2:18" ht="15" hidden="1" customHeight="1">
      <c r="B43" s="49" t="s">
        <v>87</v>
      </c>
      <c r="C43" s="56">
        <f>C7/100</f>
        <v>0.72</v>
      </c>
      <c r="D43" s="56">
        <f>E7/100</f>
        <v>0.06</v>
      </c>
      <c r="E43" s="56">
        <f>MAX(C43:D43,0)</f>
        <v>0.72</v>
      </c>
      <c r="G43" s="1" t="str">
        <f>B43</f>
        <v>per 100 arrests</v>
      </c>
      <c r="L43" s="57">
        <v>100</v>
      </c>
      <c r="M43" s="57"/>
      <c r="R43" s="49"/>
    </row>
    <row r="44" spans="2:18" ht="15" hidden="1" customHeight="1">
      <c r="B44" s="49" t="s">
        <v>88</v>
      </c>
      <c r="C44" s="56">
        <f>C8/100</f>
        <v>0.76</v>
      </c>
      <c r="D44" s="56">
        <f>E8/100</f>
        <v>0.02</v>
      </c>
      <c r="E44" s="56">
        <f>MAX(C44:D44,0)</f>
        <v>0.76</v>
      </c>
      <c r="G44" s="1" t="str">
        <f>B44</f>
        <v>per 100 referrals</v>
      </c>
      <c r="L44" s="57">
        <v>100</v>
      </c>
      <c r="M44" s="57"/>
      <c r="R44" s="49"/>
    </row>
    <row r="45" spans="2:18" ht="15" hidden="1" customHeight="1">
      <c r="B45" s="49" t="s">
        <v>89</v>
      </c>
      <c r="C45" s="49">
        <f>C11/100</f>
        <v>0.36</v>
      </c>
      <c r="D45" s="49">
        <f>E11/100</f>
        <v>0.02</v>
      </c>
      <c r="E45" s="56">
        <f>MAX(C45:D45,0)</f>
        <v>0.36</v>
      </c>
      <c r="G45" s="1" t="str">
        <f>B45</f>
        <v>per 100 youth petitioned</v>
      </c>
      <c r="L45" s="57">
        <v>100</v>
      </c>
      <c r="M45" s="57"/>
      <c r="R45" s="49"/>
    </row>
    <row r="46" spans="2:18" ht="15" hidden="1" customHeight="1">
      <c r="B46" s="49" t="s">
        <v>90</v>
      </c>
      <c r="C46" s="49">
        <f>C12/100</f>
        <v>0.19</v>
      </c>
      <c r="D46" s="49">
        <f>E12/100</f>
        <v>0.01</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0.14899999999999999</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0.06</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0.02</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0.02</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0.01</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0.14899999999999999</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0.06</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0.02</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0.02</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0.01</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0.14899999999999999</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0.06</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0.02</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0.02</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0.01</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0.14899999999999999</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0.06</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0.02</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0.02</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0.01</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Gladwin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f>'All Minorities'!G7</f>
        <v>1.1532438478747205</v>
      </c>
      <c r="L7" s="1">
        <f>'Black or African-American'!L7</f>
        <v>20</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2211</v>
      </c>
      <c r="D3" s="57">
        <f>'Data Entry'!C6</f>
        <v>2062</v>
      </c>
      <c r="E3" s="57">
        <f>'Data Entry'!D6</f>
        <v>38</v>
      </c>
      <c r="F3" s="57">
        <f>'Data Entry'!E6</f>
        <v>88</v>
      </c>
      <c r="G3" s="57">
        <f>'Data Entry'!F6</f>
        <v>6</v>
      </c>
      <c r="H3" s="57">
        <f>'Data Entry'!G6</f>
        <v>0</v>
      </c>
      <c r="I3" s="57">
        <f>'Data Entry'!H6</f>
        <v>17</v>
      </c>
      <c r="J3" s="57">
        <f>'Data Entry'!I6</f>
        <v>0</v>
      </c>
      <c r="K3" s="57">
        <f>'Data Entry'!J6</f>
        <v>149</v>
      </c>
    </row>
    <row r="4" spans="2:11" ht="15" customHeight="1">
      <c r="B4" s="16" t="s">
        <v>8</v>
      </c>
      <c r="C4" s="1">
        <f>IF((C$3&gt;0),(1000*('Data Entry'!B7/'Data Entry'!B$6)), 0)</f>
        <v>37.991858887381277</v>
      </c>
      <c r="D4" s="1">
        <f>IF((D$3&gt;0),(1000*('Data Entry'!C7/'Data Entry'!C$6)), 0)</f>
        <v>34.917555771096026</v>
      </c>
      <c r="E4" s="1">
        <f>IF((E$3&gt;0),(1000*('Data Entry'!D7/'Data Entry'!D$6)), 0)</f>
        <v>131.57894736842104</v>
      </c>
      <c r="F4" s="1">
        <f>IF((F$3&gt;0),(1000*('Data Entry'!E7/'Data Entry'!E$6)), 0)</f>
        <v>11.363636363636363</v>
      </c>
      <c r="G4" s="1">
        <f>IF((G$3&gt;0),(1000*('Data Entry'!F7/'Data Entry'!F$6)), 0)</f>
        <v>0</v>
      </c>
      <c r="H4" s="1">
        <f>IF((H$3&gt;0),(1000*('Data Entry'!G7/'Data Entry'!G$6)), 0)</f>
        <v>0</v>
      </c>
      <c r="I4" s="1">
        <f>IF((I$3&gt;0),(1000*('Data Entry'!H7/'Data Entry'!H$6)), 0)</f>
        <v>0</v>
      </c>
      <c r="J4" s="1">
        <f>IF((J$3&gt;0),(1000*('Data Entry'!I7/'Data Entry'!I$6)), 0)</f>
        <v>0</v>
      </c>
      <c r="K4" s="1">
        <f>IF((K$3&gt;0),(1000*('Data Entry'!J7/'Data Entry'!J$6)), 0)</f>
        <v>40.268456375838923</v>
      </c>
    </row>
    <row r="5" spans="2:11" ht="15" customHeight="1">
      <c r="B5" s="16" t="s">
        <v>9</v>
      </c>
      <c r="C5" s="1">
        <f>IF((C$3&gt;0),(1000*('Data Entry'!B8/'Data Entry'!B$6)), 0)</f>
        <v>41.157847127996384</v>
      </c>
      <c r="D5" s="1">
        <f>IF((D$3&gt;0),(1000*('Data Entry'!C8/'Data Entry'!C$6)), 0)</f>
        <v>36.857419980601357</v>
      </c>
      <c r="E5" s="1">
        <f>IF((E$3&gt;0),(1000*('Data Entry'!D8/'Data Entry'!D$6)), 0)</f>
        <v>52.631578947368418</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13.422818791946309</v>
      </c>
    </row>
    <row r="6" spans="2:11" ht="15" customHeight="1">
      <c r="B6" s="16" t="s">
        <v>10</v>
      </c>
      <c r="C6" s="1">
        <f>IF((C$3&gt;0),(1000*('Data Entry'!B9/'Data Entry'!B$6)), 0)</f>
        <v>1.3568521031207597</v>
      </c>
      <c r="D6" s="1">
        <f>IF((D$3&gt;0),(1000*('Data Entry'!C9/'Data Entry'!C$6)), 0)</f>
        <v>1.4548981571290009</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0.45228403437358661</v>
      </c>
      <c r="D7" s="1">
        <f>IF((D$3&gt;0),(1000*('Data Entry'!C10/'Data Entry'!C$6)), 0)</f>
        <v>0.48496605237633367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21.257349615558571</v>
      </c>
      <c r="D8" s="1">
        <f>IF((D$3&gt;0),(1000*('Data Entry'!C11/'Data Entry'!C$6)), 0)</f>
        <v>17.458777885548013</v>
      </c>
      <c r="E8" s="1">
        <f>IF((E$3&gt;0),(1000*('Data Entry'!D11/'Data Entry'!D$6)), 0)</f>
        <v>52.631578947368418</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13.422818791946309</v>
      </c>
    </row>
    <row r="9" spans="2:11" ht="15" customHeight="1">
      <c r="B9" s="16" t="s">
        <v>13</v>
      </c>
      <c r="C9" s="1">
        <f>IF((C$3&gt;0),(1000*('Data Entry'!B12/'Data Entry'!B$6)), 0)</f>
        <v>12.211668928086839</v>
      </c>
      <c r="D9" s="1">
        <f>IF((D$3&gt;0),(1000*('Data Entry'!C12/'Data Entry'!C$6)), 0)</f>
        <v>9.2143549951503392</v>
      </c>
      <c r="E9" s="1">
        <f>IF((E$3&gt;0),(1000*('Data Entry'!D12/'Data Entry'!D$6)), 0)</f>
        <v>26.315789473684209</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6.7114093959731544</v>
      </c>
    </row>
    <row r="10" spans="2:11" ht="15" customHeight="1">
      <c r="B10" s="16" t="s">
        <v>14</v>
      </c>
      <c r="C10" s="1">
        <f>IF((C$3&gt;0),(1000*('Data Entry'!B13/'Data Entry'!B$6)), 0)</f>
        <v>20.805065581184984</v>
      </c>
      <c r="D10" s="1">
        <f>IF((D$3&gt;0),(1000*('Data Entry'!C13/'Data Entry'!C$6)), 0)</f>
        <v>19.88360814742968</v>
      </c>
      <c r="E10" s="1">
        <f>IF((E$3&gt;0),(1000*('Data Entry'!D13/'Data Entry'!D$6)), 0)</f>
        <v>26.315789473684209</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6.7114093959731544</v>
      </c>
    </row>
    <row r="11" spans="2:11" ht="25.5" customHeight="1">
      <c r="B11" s="16" t="s">
        <v>15</v>
      </c>
      <c r="C11" s="1">
        <f>IF((C$3&gt;0),(1000*('Data Entry'!B14/'Data Entry'!B$6)), 0)</f>
        <v>3.1659882406151061</v>
      </c>
      <c r="D11" s="1">
        <f>IF((D$3&gt;0),(1000*('Data Entry'!C14/'Data Entry'!C$6)), 0)</f>
        <v>2.4248302618816684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Gladwin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3.7682748538011688</v>
      </c>
      <c r="E19" s="72">
        <f t="shared" si="1"/>
        <v>0.32544191919191917</v>
      </c>
      <c r="F19" s="72" t="str">
        <f t="shared" si="1"/>
        <v>--</v>
      </c>
      <c r="G19" s="72" t="str">
        <f t="shared" si="1"/>
        <v>--</v>
      </c>
      <c r="H19" s="72" t="str">
        <f t="shared" si="1"/>
        <v>--</v>
      </c>
      <c r="I19" s="72" t="str">
        <f t="shared" si="1"/>
        <v>--</v>
      </c>
      <c r="J19" s="73">
        <f t="shared" si="1"/>
        <v>1.1532438478747202</v>
      </c>
    </row>
    <row r="20" spans="2:10" ht="15" customHeight="1">
      <c r="B20" s="71" t="s">
        <v>9</v>
      </c>
      <c r="C20" s="72">
        <f t="shared" ref="C20:J27" si="2">IF(AND(($D5&gt;0),(D5&gt;0)), (D5/$D5),"--")</f>
        <v>1</v>
      </c>
      <c r="D20" s="72">
        <f t="shared" si="2"/>
        <v>1.4279778393351801</v>
      </c>
      <c r="E20" s="72" t="str">
        <f t="shared" si="2"/>
        <v>--</v>
      </c>
      <c r="F20" s="72" t="str">
        <f t="shared" si="2"/>
        <v>--</v>
      </c>
      <c r="G20" s="72" t="str">
        <f t="shared" si="2"/>
        <v>--</v>
      </c>
      <c r="H20" s="72" t="str">
        <f t="shared" si="2"/>
        <v>--</v>
      </c>
      <c r="I20" s="72" t="str">
        <f t="shared" si="2"/>
        <v>--</v>
      </c>
      <c r="J20" s="73">
        <f t="shared" si="2"/>
        <v>0.36418226774991169</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3.0146198830409352</v>
      </c>
      <c r="E23" s="72" t="str">
        <f t="shared" si="2"/>
        <v>--</v>
      </c>
      <c r="F23" s="72" t="str">
        <f t="shared" si="2"/>
        <v>--</v>
      </c>
      <c r="G23" s="72" t="str">
        <f t="shared" si="2"/>
        <v>--</v>
      </c>
      <c r="H23" s="72" t="str">
        <f t="shared" si="2"/>
        <v>--</v>
      </c>
      <c r="I23" s="72" t="str">
        <f t="shared" si="2"/>
        <v>--</v>
      </c>
      <c r="J23" s="73">
        <f t="shared" si="2"/>
        <v>0.76882923191648023</v>
      </c>
    </row>
    <row r="24" spans="2:10" ht="15" customHeight="1">
      <c r="B24" s="71" t="s">
        <v>13</v>
      </c>
      <c r="C24" s="72">
        <f t="shared" si="2"/>
        <v>1</v>
      </c>
      <c r="D24" s="72">
        <f t="shared" si="2"/>
        <v>2.8559556786703602</v>
      </c>
      <c r="E24" s="72" t="str">
        <f t="shared" si="2"/>
        <v>--</v>
      </c>
      <c r="F24" s="72" t="str">
        <f t="shared" si="2"/>
        <v>--</v>
      </c>
      <c r="G24" s="72" t="str">
        <f t="shared" si="2"/>
        <v>--</v>
      </c>
      <c r="H24" s="72" t="str">
        <f t="shared" si="2"/>
        <v>--</v>
      </c>
      <c r="I24" s="72" t="str">
        <f t="shared" si="2"/>
        <v>--</v>
      </c>
      <c r="J24" s="73">
        <f t="shared" si="2"/>
        <v>0.72836453549982338</v>
      </c>
    </row>
    <row r="25" spans="2:10" ht="15" customHeight="1">
      <c r="B25" s="71" t="s">
        <v>14</v>
      </c>
      <c r="C25" s="72">
        <f t="shared" si="2"/>
        <v>1</v>
      </c>
      <c r="D25" s="72">
        <f t="shared" si="2"/>
        <v>1.3234916559691912</v>
      </c>
      <c r="E25" s="72" t="str">
        <f t="shared" si="2"/>
        <v>--</v>
      </c>
      <c r="F25" s="72" t="str">
        <f t="shared" si="2"/>
        <v>--</v>
      </c>
      <c r="G25" s="72" t="str">
        <f t="shared" si="2"/>
        <v>--</v>
      </c>
      <c r="H25" s="72" t="str">
        <f t="shared" si="2"/>
        <v>--</v>
      </c>
      <c r="I25" s="72" t="str">
        <f t="shared" si="2"/>
        <v>--</v>
      </c>
      <c r="J25" s="73">
        <f t="shared" si="2"/>
        <v>0.33753478474382059</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Gladwin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2062</v>
      </c>
      <c r="D7" s="104">
        <f>'Data Entry'!D6</f>
        <v>38</v>
      </c>
      <c r="E7" s="105"/>
      <c r="F7" s="106">
        <f>'Data Entry'!E6</f>
        <v>88</v>
      </c>
      <c r="G7" s="105"/>
      <c r="H7" s="106">
        <f>'Data Entry'!F6</f>
        <v>6</v>
      </c>
      <c r="I7" s="105"/>
      <c r="J7" s="106">
        <f>'Data Entry'!G6</f>
        <v>0</v>
      </c>
      <c r="K7" s="105"/>
      <c r="L7" s="106">
        <f>'Data Entry'!H6</f>
        <v>17</v>
      </c>
      <c r="M7" s="105"/>
      <c r="N7" s="106">
        <f>'Data Entry'!I6</f>
        <v>0</v>
      </c>
      <c r="O7" s="105"/>
      <c r="P7" s="106">
        <f>'Data Entry'!J6</f>
        <v>149</v>
      </c>
      <c r="Q7" s="107"/>
    </row>
    <row r="8" spans="2:26" s="1" customFormat="1" ht="15" customHeight="1">
      <c r="B8" s="142" t="s">
        <v>8</v>
      </c>
      <c r="C8" s="103">
        <f>'Data Entry'!C7</f>
        <v>72</v>
      </c>
      <c r="D8" s="104">
        <f>'Data Entry'!D7</f>
        <v>5</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6</v>
      </c>
      <c r="Q8" s="107">
        <f>'All Minorities'!G7</f>
        <v>1.1532438478747205</v>
      </c>
      <c r="R8"/>
      <c r="T8" s="1">
        <f>'Black or African-American'!L7</f>
        <v>20</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76</v>
      </c>
      <c r="D9" s="108">
        <f>'Data Entry'!D8</f>
        <v>2</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v>
      </c>
      <c r="Q9" s="111" t="str">
        <f>'All Minorities'!G8</f>
        <v>**</v>
      </c>
      <c r="R9"/>
      <c r="T9" s="1">
        <f>'Black or African-American'!L8</f>
        <v>20</v>
      </c>
      <c r="U9" s="1">
        <f>Hispanic!L8</f>
        <v>20</v>
      </c>
      <c r="V9" s="1">
        <f>Asian!L8</f>
        <v>139</v>
      </c>
      <c r="W9" s="1">
        <f>Hawaiian!L8</f>
        <v>139</v>
      </c>
      <c r="X9" s="1">
        <f>'Am Indian'!L8</f>
        <v>139</v>
      </c>
      <c r="Y9" s="1">
        <f>'Other - Mixed'!L8</f>
        <v>139</v>
      </c>
      <c r="Z9" s="1">
        <f>'All Minorities'!L8</f>
        <v>20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36</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19</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41</v>
      </c>
      <c r="D14" s="112">
        <f>'Data Entry'!D13</f>
        <v>1</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1</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Gladwin</v>
      </c>
    </row>
    <row r="6" spans="1:12">
      <c r="A6" s="135" t="str">
        <f>CONCATENATE("Percentage of Minorities at Stages of the Juvenile Justice System, ", A5, " 2024")</f>
        <v>Percentage of Minorities at Stages of the Juvenile Justice System, County: Gladwin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13.838926174496644</v>
      </c>
    </row>
    <row r="8" spans="1:12" ht="25.5" customHeight="1">
      <c r="A8" s="151" t="str">
        <f>CONCATENATE("Confinement, total N=", 'Data Entry'!B14)</f>
        <v>Confinement, total N=7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0.7142857142857143</v>
      </c>
      <c r="K8" s="96" t="str">
        <f>A8</f>
        <v>Confinement, total N=7</v>
      </c>
      <c r="L8">
        <f>I14/(SUM(B14:G14))</f>
        <v>13.838926174496644</v>
      </c>
    </row>
    <row r="9" spans="1:12">
      <c r="A9" s="128" t="str">
        <f>CONCATENATE("Delinquent Findings, total N=", 'Data Entry'!B12)</f>
        <v>Delinquent Findings, total N=27</v>
      </c>
      <c r="B9" s="150">
        <f>'Data Entry'!D12/'Data Entry'!B12</f>
        <v>3.7037037037037035E-2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0.70370370370370372</v>
      </c>
      <c r="K9" s="96" t="str">
        <f t="shared" si="0"/>
        <v>Delinquent Findings, total N=27</v>
      </c>
      <c r="L9">
        <f>I14/(SUM(B14:G14))</f>
        <v>13.838926174496644</v>
      </c>
    </row>
    <row r="10" spans="1:12">
      <c r="A10" s="128" t="str">
        <f>CONCATENATE("Petitions, total N=", 'Data Entry'!B11)</f>
        <v>Petitions, total N=47</v>
      </c>
      <c r="B10" s="150">
        <f>'Data Entry'!D11/'Data Entry'!B11</f>
        <v>4.2553191489361701E-2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0.76595744680851063</v>
      </c>
      <c r="K10" s="96" t="str">
        <f t="shared" si="0"/>
        <v>Petitions, total N=47</v>
      </c>
      <c r="L10">
        <f>I14/(SUM(B14:G14))</f>
        <v>13.838926174496644</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13.838926174496644</v>
      </c>
    </row>
    <row r="12" spans="1:12">
      <c r="A12" s="128" t="str">
        <f>CONCATENATE("Referrals, total N=", 'Data Entry'!B8)</f>
        <v>Referrals, total N=91</v>
      </c>
      <c r="B12" s="150">
        <f>'Data Entry'!D8/'Data Entry'!B8</f>
        <v>2.197802197802198E-2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0.8351648351648352</v>
      </c>
      <c r="K12" s="96" t="str">
        <f t="shared" si="0"/>
        <v>Referrals, total N=91</v>
      </c>
      <c r="L12">
        <f>I14/(SUM(B14:G14))</f>
        <v>13.838926174496644</v>
      </c>
    </row>
    <row r="13" spans="1:12">
      <c r="A13" s="128" t="str">
        <f>CONCATENATE("Arrests, total N=", 'Data Entry'!B7)</f>
        <v>Arrests, total N=84</v>
      </c>
      <c r="B13" s="150">
        <f>'Data Entry'!D7/'Data Entry'!B7</f>
        <v>5.9523809523809521E-2</v>
      </c>
      <c r="C13" s="150">
        <f>'Data Entry'!E7/'Data Entry'!B7</f>
        <v>1.1904761904761904E-2</v>
      </c>
      <c r="D13" s="150">
        <f>'Data Entry'!F7/'Data Entry'!B7</f>
        <v>0</v>
      </c>
      <c r="E13" s="150">
        <f>'Data Entry'!G7/'Data Entry'!B7</f>
        <v>0</v>
      </c>
      <c r="F13" s="150">
        <f>'Data Entry'!H7/'Data Entry'!B7</f>
        <v>0</v>
      </c>
      <c r="G13" s="150">
        <f>'Data Entry'!I7/'Data Entry'!B7</f>
        <v>0</v>
      </c>
      <c r="H13" s="150">
        <f>SUM(D13:G13)/'Data Entry'!B7</f>
        <v>0</v>
      </c>
      <c r="I13" s="150">
        <f>'Data Entry'!C7/'Data Entry'!B7</f>
        <v>0.8571428571428571</v>
      </c>
      <c r="K13" s="96" t="str">
        <f t="shared" si="0"/>
        <v>Arrests, total N=84</v>
      </c>
      <c r="L13">
        <f>I14/(SUM(B14:G14))</f>
        <v>13.838926174496644</v>
      </c>
    </row>
    <row r="14" spans="1:12">
      <c r="A14" s="128" t="str">
        <f>CONCATENATE("Population, total N=", 'Data Entry'!B6)</f>
        <v>Population, total N=2211</v>
      </c>
      <c r="B14" s="150">
        <f>'Data Entry'!D6/'Data Entry'!B6</f>
        <v>1.7186793306196293E-2</v>
      </c>
      <c r="C14" s="150">
        <f>'Data Entry'!E6/'Data Entry'!B6</f>
        <v>3.9800995024875621E-2</v>
      </c>
      <c r="D14" s="150">
        <f>'Data Entry'!F6/'Data Entry'!B6</f>
        <v>2.7137042062415195E-3</v>
      </c>
      <c r="E14" s="150">
        <f>'Data Entry'!G6/'Data Entry'!B6</f>
        <v>0</v>
      </c>
      <c r="F14" s="150">
        <f>'Data Entry'!H6/'Data Entry'!B6</f>
        <v>7.6888285843509721E-3</v>
      </c>
      <c r="G14" s="150">
        <f>'Data Entry'!I6/'Data Entry'!B6</f>
        <v>0</v>
      </c>
      <c r="H14" s="150">
        <f>SUM(D14:G14)/'Data Entry'!B6</f>
        <v>4.7048994982326962E-6</v>
      </c>
      <c r="I14" s="150">
        <f>'Data Entry'!C6/'Data Entry'!B6</f>
        <v>0.93260967887833557</v>
      </c>
      <c r="K14" s="96" t="str">
        <f t="shared" si="0"/>
        <v>Population, total N=2211</v>
      </c>
      <c r="L14">
        <f>I14/(SUM(B14:G14))</f>
        <v>13.838926174496644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Gladwin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2062</v>
      </c>
      <c r="D7" s="104">
        <f>'Data Entry'!D6</f>
        <v>38</v>
      </c>
      <c r="E7" s="105"/>
      <c r="F7" s="106">
        <f>'Data Entry'!E6</f>
        <v>88</v>
      </c>
      <c r="G7" s="105"/>
      <c r="H7" s="106">
        <f>'Data Entry'!F6</f>
        <v>6</v>
      </c>
      <c r="I7" s="105"/>
      <c r="J7" s="106">
        <f>'Data Entry'!J6</f>
        <v>149</v>
      </c>
      <c r="K7" s="107"/>
    </row>
    <row r="8" spans="2:30" s="1" customFormat="1" ht="15" customHeight="1">
      <c r="B8" s="121" t="s">
        <v>8</v>
      </c>
      <c r="C8" s="103">
        <f>'Data Entry'!C7</f>
        <v>72</v>
      </c>
      <c r="D8" s="104">
        <f>'Data Entry'!D7</f>
        <v>5</v>
      </c>
      <c r="E8" s="105" t="str">
        <f>'Black or African-American'!$G7</f>
        <v>**</v>
      </c>
      <c r="F8" s="106">
        <f>'Data Entry'!E7</f>
        <v>1</v>
      </c>
      <c r="G8" s="105" t="str">
        <f>Hispanic!G7</f>
        <v>**</v>
      </c>
      <c r="H8" s="106">
        <f>'Data Entry'!F7</f>
        <v>0</v>
      </c>
      <c r="I8" s="105" t="str">
        <f>Asian!G7</f>
        <v>*</v>
      </c>
      <c r="J8" s="106">
        <f>'Data Entry'!J7</f>
        <v>6</v>
      </c>
      <c r="K8" s="107">
        <f>'All Minorities'!G7</f>
        <v>1.1532438478747205</v>
      </c>
      <c r="L8"/>
      <c r="N8" s="1">
        <f>'Black or African-American'!L7</f>
        <v>20</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76</v>
      </c>
      <c r="D9" s="108">
        <f>'Data Entry'!D8</f>
        <v>2</v>
      </c>
      <c r="E9" s="109" t="str">
        <f>'Black or African-American'!$G8</f>
        <v>**</v>
      </c>
      <c r="F9" s="110">
        <f>'Data Entry'!E8</f>
        <v>0</v>
      </c>
      <c r="G9" s="109" t="str">
        <f>Hispanic!G8</f>
        <v>**</v>
      </c>
      <c r="H9" s="110">
        <f>'Data Entry'!F8</f>
        <v>0</v>
      </c>
      <c r="I9" s="109" t="str">
        <f>Asian!G8</f>
        <v>*</v>
      </c>
      <c r="J9" s="110">
        <f>'Data Entry'!J8</f>
        <v>2</v>
      </c>
      <c r="K9" s="111" t="str">
        <f>'All Minorities'!G8</f>
        <v>**</v>
      </c>
      <c r="L9"/>
      <c r="N9" s="1">
        <f>'Black or African-American'!L8</f>
        <v>20</v>
      </c>
      <c r="O9" s="1">
        <f>Hispanic!L8</f>
        <v>20</v>
      </c>
      <c r="P9" s="1">
        <f>Asian!L8</f>
        <v>139</v>
      </c>
      <c r="Q9" s="1">
        <f>Hawaiian!L8</f>
        <v>139</v>
      </c>
      <c r="R9" s="1">
        <f>'Am Indian'!L8</f>
        <v>139</v>
      </c>
      <c r="S9" s="1">
        <f>'Other - Mixed'!L8</f>
        <v>139</v>
      </c>
      <c r="T9" s="1">
        <f>'All Minorities'!L8</f>
        <v>20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36</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19</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41</v>
      </c>
      <c r="D14" s="112">
        <f>'Data Entry'!D13</f>
        <v>1</v>
      </c>
      <c r="E14" s="113" t="str">
        <f>'Black or African-American'!$G13</f>
        <v>**</v>
      </c>
      <c r="F14" s="114">
        <f>'Data Entry'!E13</f>
        <v>0</v>
      </c>
      <c r="G14" s="113" t="str">
        <f>Hispanic!G13</f>
        <v>--</v>
      </c>
      <c r="H14" s="114">
        <f>'Data Entry'!F13</f>
        <v>0</v>
      </c>
      <c r="I14" s="113" t="str">
        <f>Asian!G13</f>
        <v>*</v>
      </c>
      <c r="J14" s="114">
        <f>'Data Entry'!J13</f>
        <v>1</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Entry'!D6</f>
        <v>38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Entry'!D7</f>
        <v>5</v>
      </c>
      <c r="F7" s="34">
        <f>IF((AND($E$7&gt;0,$D$66&gt;0)),($E$7/$D$66),0)</f>
        <v>131.57894736842107</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5</v>
      </c>
      <c r="O7" s="42">
        <f>E6-E7</f>
        <v>33</v>
      </c>
      <c r="P7" s="42">
        <f t="shared" ref="P7:P15" si="2">C7</f>
        <v>72</v>
      </c>
      <c r="Q7" s="42">
        <f>C6-C7</f>
        <v>1990</v>
      </c>
      <c r="R7" s="42">
        <f t="shared" ref="R7:R15" si="3">SUM(N7:Q7)</f>
        <v>2100</v>
      </c>
      <c r="S7" s="30">
        <f t="shared" ref="S7:S15" si="4">R7*((((N7*Q7)-(O7*P7))^2))</f>
        <v>120467499600</v>
      </c>
      <c r="T7" s="30">
        <f t="shared" ref="T7:T15" si="5">(N7+O7)*(P7+Q7)*(N7+P7)*(O7+Q7)</f>
        <v>12205592476</v>
      </c>
      <c r="U7" s="31">
        <f t="shared" ref="U7:U15" si="6">IF((S7&gt;0),S7/T7,"- -")</f>
        <v>9.8698608721269903</v>
      </c>
    </row>
    <row r="8" spans="2:21" ht="18" customHeight="1">
      <c r="B8" s="32" t="str">
        <f>'Data Entry'!A8</f>
        <v>3. Refer to Juvenile Court</v>
      </c>
      <c r="C8" s="33">
        <f>'Data Entry'!C8</f>
        <v>76</v>
      </c>
      <c r="D8" s="34">
        <f>IF((AND(C67&gt;0,C8&gt;0)),(C8/C67),0)</f>
        <v>105.55555555555556</v>
      </c>
      <c r="E8" s="33">
        <f>'Data Entry'!D8</f>
        <v>2</v>
      </c>
      <c r="F8" s="34">
        <f>IF((AND($E$8&gt;0,$D$67&gt;0)),($E8/$D67),0)</f>
        <v>40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3.05</v>
      </c>
      <c r="P8" s="42">
        <f t="shared" si="2"/>
        <v>76</v>
      </c>
      <c r="Q8" s="42">
        <f>(C$67*L67)-C8</f>
        <v>-4</v>
      </c>
      <c r="R8" s="42">
        <f t="shared" si="3"/>
        <v>77.05</v>
      </c>
      <c r="S8" s="30">
        <f t="shared" si="4"/>
        <v>4430686.2819999997</v>
      </c>
      <c r="T8" s="30">
        <f t="shared" si="5"/>
        <v>-26942.760000000002</v>
      </c>
      <c r="U8" s="31">
        <f t="shared" si="6"/>
        <v>-164.44812194444813</v>
      </c>
    </row>
    <row r="9" spans="2:21" ht="18" customHeight="1">
      <c r="B9" s="32" t="str">
        <f>'Data Entry'!A9</f>
        <v xml:space="preserve">4. Cases Diverted </v>
      </c>
      <c r="C9" s="33">
        <f>'Data Entry'!C9</f>
        <v>3</v>
      </c>
      <c r="D9" s="34">
        <f>IF((AND(C68&gt;0,C9&gt;0)),((C9/C68)),0)</f>
        <v>3.9473684210526314</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3</v>
      </c>
      <c r="Q9" s="42">
        <f>(C$68*L68)-C9</f>
        <v>73</v>
      </c>
      <c r="R9" s="42">
        <f t="shared" si="3"/>
        <v>78</v>
      </c>
      <c r="S9" s="30">
        <f t="shared" si="4"/>
        <v>2808</v>
      </c>
      <c r="T9" s="30">
        <f t="shared" si="5"/>
        <v>34200</v>
      </c>
      <c r="U9" s="31">
        <f t="shared" si="6"/>
        <v>8.2105263157894737E-2</v>
      </c>
    </row>
    <row r="10" spans="2:21" ht="18" customHeight="1">
      <c r="B10" s="32" t="str">
        <f>'Data Entry'!A10</f>
        <v>5. Cases Involving Secure Detention</v>
      </c>
      <c r="C10" s="33">
        <f>'Data Entry'!C10</f>
        <v>1</v>
      </c>
      <c r="D10" s="34">
        <f>IF(((AND(C68&gt;0,C10&gt;0))),(C10/(C68)),0)</f>
        <v>1.3157894736842106</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1</v>
      </c>
      <c r="Q10" s="42">
        <f>(C$68*L68)-C10</f>
        <v>75</v>
      </c>
      <c r="R10" s="42">
        <f t="shared" si="3"/>
        <v>78</v>
      </c>
      <c r="S10" s="30">
        <f t="shared" si="4"/>
        <v>312</v>
      </c>
      <c r="T10" s="30">
        <f t="shared" si="5"/>
        <v>11704</v>
      </c>
      <c r="U10" s="31">
        <f t="shared" si="6"/>
        <v>2.6657552973342446E-2</v>
      </c>
    </row>
    <row r="11" spans="2:21" ht="18" customHeight="1">
      <c r="B11" s="32" t="str">
        <f>'Data Entry'!A11</f>
        <v>6. Cases Petitioned (Charge Filed)</v>
      </c>
      <c r="C11" s="33">
        <f>'Data Entry'!C11</f>
        <v>36</v>
      </c>
      <c r="D11" s="34">
        <f>IF(((AND(C68&gt;0,C11&gt;0))),(C11/(C68)),0)</f>
        <v>47.368421052631575</v>
      </c>
      <c r="E11" s="33">
        <f>'Data Entry'!D11</f>
        <v>2</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0</v>
      </c>
      <c r="P11" s="42">
        <f t="shared" si="2"/>
        <v>36</v>
      </c>
      <c r="Q11" s="42">
        <f>(C$68*L68)-C11</f>
        <v>40</v>
      </c>
      <c r="R11" s="42">
        <f t="shared" si="3"/>
        <v>78</v>
      </c>
      <c r="S11" s="30">
        <f t="shared" si="4"/>
        <v>499200</v>
      </c>
      <c r="T11" s="30">
        <f t="shared" si="5"/>
        <v>231040</v>
      </c>
      <c r="U11" s="31">
        <f t="shared" si="6"/>
        <v>2.1606648199445981</v>
      </c>
    </row>
    <row r="12" spans="2:21" ht="18" customHeight="1">
      <c r="B12" s="32" t="str">
        <f>'Data Entry'!A12</f>
        <v>7. Cases Resulting in Delinquent Findings</v>
      </c>
      <c r="C12" s="33">
        <f>'Data Entry'!C12</f>
        <v>19</v>
      </c>
      <c r="D12" s="34">
        <f>IF(((AND(C69&gt;0,C12&gt;0))),(C12/(C69)),0)</f>
        <v>52.777777777777779</v>
      </c>
      <c r="E12" s="33">
        <f>'Data Entry'!D12</f>
        <v>1</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v>
      </c>
      <c r="P12" s="42">
        <f t="shared" si="2"/>
        <v>19</v>
      </c>
      <c r="Q12" s="42">
        <f>(C69*L69)-C12</f>
        <v>17</v>
      </c>
      <c r="R12" s="42">
        <f t="shared" si="3"/>
        <v>38</v>
      </c>
      <c r="S12" s="30">
        <f t="shared" si="4"/>
        <v>152</v>
      </c>
      <c r="T12" s="30">
        <f t="shared" si="5"/>
        <v>25920</v>
      </c>
      <c r="U12" s="31">
        <f t="shared" si="6"/>
        <v>5.8641975308641979E-3</v>
      </c>
    </row>
    <row r="13" spans="2:21" ht="18" customHeight="1">
      <c r="B13" s="32" t="str">
        <f>'Data Entry'!A13</f>
        <v>8. Cases Resulting in Probation Placement</v>
      </c>
      <c r="C13" s="33">
        <f>'Data Entry'!C13</f>
        <v>41</v>
      </c>
      <c r="D13" s="34">
        <f>IF(((AND(C70&gt;0,C13&gt;0))),(C13/(C70)),0)</f>
        <v>215.78947368421052</v>
      </c>
      <c r="E13" s="33">
        <f>'Data Entry'!D13</f>
        <v>1</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0</v>
      </c>
      <c r="P13" s="42">
        <f t="shared" si="2"/>
        <v>41</v>
      </c>
      <c r="Q13" s="42">
        <f>(C70*L70)-C13</f>
        <v>-22</v>
      </c>
      <c r="R13" s="42">
        <f t="shared" si="3"/>
        <v>20</v>
      </c>
      <c r="S13" s="30">
        <f t="shared" si="4"/>
        <v>9680</v>
      </c>
      <c r="T13" s="30">
        <f t="shared" si="5"/>
        <v>-17556</v>
      </c>
      <c r="U13" s="31">
        <f t="shared" si="6"/>
        <v>-0.55137844611528819</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5</v>
      </c>
      <c r="Q14" s="42">
        <f>(C70*L70)-C14</f>
        <v>14</v>
      </c>
      <c r="R14" s="42">
        <f t="shared" si="3"/>
        <v>20</v>
      </c>
      <c r="S14" s="30">
        <f t="shared" si="4"/>
        <v>500</v>
      </c>
      <c r="T14" s="30">
        <f t="shared" si="5"/>
        <v>1425</v>
      </c>
      <c r="U14" s="31">
        <f t="shared" si="6"/>
        <v>0.35087719298245612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36</v>
      </c>
      <c r="R15" s="42">
        <f t="shared" si="3"/>
        <v>38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3.7999999999999999E-2</v>
      </c>
      <c r="E42" s="56">
        <f>MAX(C42:D42)</f>
        <v>2.0619999999999998</v>
      </c>
      <c r="G42" s="1" t="str">
        <f>B42</f>
        <v>per 1000 youth</v>
      </c>
      <c r="L42" s="57">
        <v>1000</v>
      </c>
      <c r="M42" s="57"/>
      <c r="R42" s="49"/>
    </row>
    <row r="43" spans="2:18" ht="15" hidden="1" customHeight="1">
      <c r="B43" s="49" t="s">
        <v>87</v>
      </c>
      <c r="C43" s="56">
        <f>C7/100</f>
        <v>0.72</v>
      </c>
      <c r="D43" s="56">
        <f>E7/100</f>
        <v>0.05</v>
      </c>
      <c r="E43" s="56">
        <f>MAX(C43:D43,0)</f>
        <v>0.72</v>
      </c>
      <c r="G43" s="1" t="str">
        <f>B43</f>
        <v>per 100 arrests</v>
      </c>
      <c r="L43" s="57">
        <v>100</v>
      </c>
      <c r="M43" s="57"/>
      <c r="R43" s="49"/>
    </row>
    <row r="44" spans="2:18" ht="15" hidden="1" customHeight="1">
      <c r="B44" s="49" t="s">
        <v>88</v>
      </c>
      <c r="C44" s="56">
        <f>C8/100</f>
        <v>0.76</v>
      </c>
      <c r="D44" s="56">
        <f>E8/100</f>
        <v>0.02</v>
      </c>
      <c r="E44" s="56">
        <f>MAX(C44:D44,0)</f>
        <v>0.76</v>
      </c>
      <c r="G44" s="1" t="str">
        <f>B44</f>
        <v>per 100 referrals</v>
      </c>
      <c r="L44" s="57">
        <v>100</v>
      </c>
      <c r="M44" s="57"/>
      <c r="R44" s="49"/>
    </row>
    <row r="45" spans="2:18" ht="15" hidden="1" customHeight="1">
      <c r="B45" s="49" t="s">
        <v>89</v>
      </c>
      <c r="C45" s="49">
        <f>C11/100</f>
        <v>0.36</v>
      </c>
      <c r="D45" s="49">
        <f>E11/100</f>
        <v>0.02</v>
      </c>
      <c r="E45" s="56">
        <f>MAX(C45:D45,0)</f>
        <v>0.36</v>
      </c>
      <c r="G45" s="1" t="str">
        <f>B45</f>
        <v>per 100 youth petitioned</v>
      </c>
      <c r="L45" s="57">
        <v>100</v>
      </c>
      <c r="M45" s="57"/>
      <c r="R45" s="49"/>
    </row>
    <row r="46" spans="2:18" ht="15" hidden="1" customHeight="1">
      <c r="B46" s="49" t="s">
        <v>90</v>
      </c>
      <c r="C46" s="49">
        <f>C12/100</f>
        <v>0.19</v>
      </c>
      <c r="D46" s="49">
        <f>E12/100</f>
        <v>0.01</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3.7999999999999999E-2</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0.72</v>
      </c>
      <c r="D49" s="49">
        <f t="shared" si="9"/>
        <v>0.05</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0.02</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0.02</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0.01</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3.7999999999999999E-2</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0.05</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0.02</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0.02</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0.01</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3.7999999999999999E-2</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0.05</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0.02</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0.02</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0.01</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3.7999999999999999E-2</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0.05</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0.02</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0.02</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0.01</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72</v>
      </c>
      <c r="Q7" s="42">
        <f>C6-C7</f>
        <v>1990</v>
      </c>
      <c r="R7" s="42">
        <f t="shared" ref="R7:R15" si="5">SUM(N7:Q7)</f>
        <v>2068</v>
      </c>
      <c r="S7" s="30">
        <f t="shared" ref="S7:S15" si="6">R7*((((N7*Q7)-(O7*P7))^2))</f>
        <v>385938432</v>
      </c>
      <c r="T7" s="30">
        <f t="shared" ref="T7:T15" si="7">(N7+O7)*(P7+Q7)*(N7+P7)*(O7+Q7)</f>
        <v>1778004864</v>
      </c>
      <c r="U7" s="31">
        <f t="shared" ref="U7:U15" si="8">IF((S7&gt;0),S7/T7,"- -")</f>
        <v>0.21706264128645264</v>
      </c>
    </row>
    <row r="8" spans="2:21" ht="18" customHeight="1">
      <c r="B8" s="32" t="str">
        <f>'Data Entry'!A8</f>
        <v>3. Refer to Juvenile Court</v>
      </c>
      <c r="C8" s="33">
        <f>'Data Entry'!C8</f>
        <v>76</v>
      </c>
      <c r="D8" s="34">
        <f>IF((AND(C67&gt;0,C8&gt;0)),(C8/C67),0)</f>
        <v>105.55555555555556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76</v>
      </c>
      <c r="Q8" s="42">
        <f>(C$67*L67)-C8</f>
        <v>-4</v>
      </c>
      <c r="R8" s="42">
        <f t="shared" si="5"/>
        <v>72.05</v>
      </c>
      <c r="S8" s="30">
        <f t="shared" si="6"/>
        <v>1040.402</v>
      </c>
      <c r="T8" s="30">
        <f t="shared" si="7"/>
        <v>-1080.72</v>
      </c>
      <c r="U8" s="31">
        <f t="shared" si="8"/>
        <v>-0.9626933895921238</v>
      </c>
    </row>
    <row r="9" spans="2:21" ht="18" customHeight="1">
      <c r="B9" s="32" t="str">
        <f>'Data Entry'!A9</f>
        <v xml:space="preserve">4. Cases Diverted </v>
      </c>
      <c r="C9" s="33">
        <f>'Data Entry'!C9</f>
        <v>3</v>
      </c>
      <c r="D9" s="34">
        <f>IF((AND(C68&gt;0,C9&gt;0)),((C9/C68)),0)</f>
        <v>3.9473684210526314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73</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1.3157894736842106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47.368421052631575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40</v>
      </c>
      <c r="R11" s="42">
        <f t="shared" si="5"/>
        <v>76</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52.777777777777779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17</v>
      </c>
      <c r="R12" s="42">
        <f t="shared" si="5"/>
        <v>36</v>
      </c>
      <c r="S12" s="30">
        <f t="shared" si="6"/>
        <v>0</v>
      </c>
      <c r="T12" s="30">
        <f t="shared" si="7"/>
        <v>0</v>
      </c>
      <c r="U12" s="31" t="str">
        <f t="shared" si="8"/>
        <v>- -</v>
      </c>
    </row>
    <row r="13" spans="2:21" ht="18" customHeight="1">
      <c r="B13" s="32" t="str">
        <f>'Data Entry'!A13</f>
        <v>8. Cases Resulting in Probation Placement</v>
      </c>
      <c r="C13" s="33">
        <f>'Data Entry'!C13</f>
        <v>41</v>
      </c>
      <c r="D13" s="34">
        <f>IF(((AND(C70&gt;0,C13&gt;0))),(C13/(C70)),0)</f>
        <v>215.78947368421052</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41</v>
      </c>
      <c r="Q13" s="42">
        <f>(C70*L70)-C13</f>
        <v>-22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14</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6.0000000000000001E-3</v>
      </c>
      <c r="E42" s="56">
        <f>MAX(C42:D42)</f>
        <v>2.0619999999999998</v>
      </c>
      <c r="G42" s="1" t="str">
        <f>B42</f>
        <v>per 1000 youth</v>
      </c>
      <c r="L42" s="57">
        <v>1000</v>
      </c>
      <c r="M42" s="57"/>
      <c r="R42" s="49"/>
    </row>
    <row r="43" spans="2:18" ht="15" hidden="1" customHeight="1">
      <c r="B43" s="49" t="s">
        <v>87</v>
      </c>
      <c r="C43" s="56">
        <f>C7/100</f>
        <v>0.72</v>
      </c>
      <c r="D43" s="56">
        <f>E7/100</f>
        <v>0</v>
      </c>
      <c r="E43" s="56">
        <f>MAX(C43:D43,0)</f>
        <v>0.72</v>
      </c>
      <c r="G43" s="1" t="str">
        <f>B43</f>
        <v>per 100 arrests</v>
      </c>
      <c r="L43" s="57">
        <v>100</v>
      </c>
      <c r="M43" s="57"/>
      <c r="R43" s="49"/>
    </row>
    <row r="44" spans="2:18" ht="15" hidden="1" customHeight="1">
      <c r="B44" s="49" t="s">
        <v>88</v>
      </c>
      <c r="C44" s="56">
        <f>C8/100</f>
        <v>0.76</v>
      </c>
      <c r="D44" s="56">
        <f>E8/100</f>
        <v>0</v>
      </c>
      <c r="E44" s="56">
        <f>MAX(C44:D44,0)</f>
        <v>0.76</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6.0000000000000001E-3</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6.0000000000000001E-3</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6.0000000000000001E-3</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6.0000000000000001E-3</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Entry'!E6</f>
        <v>88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Entry'!E7</f>
        <v>1</v>
      </c>
      <c r="F7" s="34">
        <f>IF((AND($E$7&gt;0,$D$66&gt;0)),($E$7/$D$66),0)</f>
        <v>11.363636363636365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87</v>
      </c>
      <c r="P7" s="42">
        <f t="shared" ref="P7:P15" si="4">C7</f>
        <v>72</v>
      </c>
      <c r="Q7" s="42">
        <f>C6-C7</f>
        <v>1990</v>
      </c>
      <c r="R7" s="42">
        <f t="shared" ref="R7:R15" si="5">SUM(N7:Q7)</f>
        <v>2150</v>
      </c>
      <c r="S7" s="30">
        <f t="shared" ref="S7:S15" si="6">R7*((((N7*Q7)-(O7*P7))^2))</f>
        <v>39274213400</v>
      </c>
      <c r="T7" s="30">
        <f t="shared" ref="T7:T15" si="7">(N7+O7)*(P7+Q7)*(N7+P7)*(O7+Q7)</f>
        <v>27512540176</v>
      </c>
      <c r="U7" s="31">
        <f t="shared" ref="U7:U15" si="8">IF((S7&gt;0),S7/T7,"- -")</f>
        <v>1.4275022643768842</v>
      </c>
    </row>
    <row r="8" spans="2:21" ht="18" customHeight="1">
      <c r="B8" s="32" t="str">
        <f>'Data Entry'!A8</f>
        <v>3. Refer to Juvenile Court</v>
      </c>
      <c r="C8" s="33">
        <f>'Data Entry'!C8</f>
        <v>76</v>
      </c>
      <c r="D8" s="34">
        <f>IF((AND(C67&gt;0,C8&gt;0)),(C8/C67),0)</f>
        <v>105.55555555555556</v>
      </c>
      <c r="E8" s="33">
        <f>'Data Entry'!E8</f>
        <v>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0</v>
      </c>
      <c r="O8" s="42">
        <f>((D67*L67)-E8)+0.05</f>
        <v>1.05</v>
      </c>
      <c r="P8" s="42">
        <f t="shared" si="4"/>
        <v>76</v>
      </c>
      <c r="Q8" s="42">
        <f>(C$67*L67)-C8</f>
        <v>-4</v>
      </c>
      <c r="R8" s="42">
        <f t="shared" si="5"/>
        <v>73.05</v>
      </c>
      <c r="S8" s="30">
        <f t="shared" si="6"/>
        <v>465185.32199999999</v>
      </c>
      <c r="T8" s="30">
        <f t="shared" si="7"/>
        <v>-16949.52</v>
      </c>
      <c r="U8" s="31">
        <f t="shared" si="8"/>
        <v>-27.445338983050846</v>
      </c>
    </row>
    <row r="9" spans="2:21" ht="18" customHeight="1">
      <c r="B9" s="32" t="str">
        <f>'Data Entry'!A9</f>
        <v xml:space="preserve">4. Cases Diverted </v>
      </c>
      <c r="C9" s="33">
        <f>'Data Entry'!C9</f>
        <v>3</v>
      </c>
      <c r="D9" s="34">
        <f>IF((AND(C68&gt;0,C9&gt;0)),((C9/C68)),0)</f>
        <v>3.9473684210526314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73</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1.3157894736842106</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47.368421052631575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40</v>
      </c>
      <c r="R11" s="42">
        <f t="shared" si="5"/>
        <v>76</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52.777777777777779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17</v>
      </c>
      <c r="R12" s="42">
        <f t="shared" si="5"/>
        <v>36</v>
      </c>
      <c r="S12" s="30">
        <f t="shared" si="6"/>
        <v>0</v>
      </c>
      <c r="T12" s="30">
        <f t="shared" si="7"/>
        <v>0</v>
      </c>
      <c r="U12" s="31" t="str">
        <f t="shared" si="8"/>
        <v>- -</v>
      </c>
    </row>
    <row r="13" spans="2:21" ht="18" customHeight="1">
      <c r="B13" s="32" t="str">
        <f>'Data Entry'!A13</f>
        <v>8. Cases Resulting in Probation Placement</v>
      </c>
      <c r="C13" s="33">
        <f>'Data Entry'!C13</f>
        <v>41</v>
      </c>
      <c r="D13" s="34">
        <f>IF(((AND(C70&gt;0,C13&gt;0))),(C13/(C70)),0)</f>
        <v>215.78947368421052</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41</v>
      </c>
      <c r="Q13" s="42">
        <f>(C70*L70)-C13</f>
        <v>-22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14</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8.7999999999999995E-2</v>
      </c>
      <c r="E42" s="56">
        <f>MAX(C42:D42)</f>
        <v>2.0619999999999998</v>
      </c>
      <c r="G42" s="1" t="str">
        <f>B42</f>
        <v>per 1000 youth</v>
      </c>
      <c r="L42" s="57">
        <v>1000</v>
      </c>
      <c r="M42" s="57"/>
      <c r="R42" s="49"/>
    </row>
    <row r="43" spans="2:18" ht="15" hidden="1" customHeight="1">
      <c r="B43" s="49" t="s">
        <v>87</v>
      </c>
      <c r="C43" s="56">
        <f>C7/100</f>
        <v>0.72</v>
      </c>
      <c r="D43" s="56">
        <f>E7/100</f>
        <v>0.01</v>
      </c>
      <c r="E43" s="56">
        <f>MAX(C43:D43,0)</f>
        <v>0.72</v>
      </c>
      <c r="G43" s="1" t="str">
        <f>B43</f>
        <v>per 100 arrests</v>
      </c>
      <c r="L43" s="57">
        <v>100</v>
      </c>
      <c r="M43" s="57"/>
      <c r="R43" s="49"/>
    </row>
    <row r="44" spans="2:18" ht="15" hidden="1" customHeight="1">
      <c r="B44" s="49" t="s">
        <v>88</v>
      </c>
      <c r="C44" s="56">
        <f>C8/100</f>
        <v>0.76</v>
      </c>
      <c r="D44" s="56">
        <f>E8/100</f>
        <v>0</v>
      </c>
      <c r="E44" s="56">
        <f>MAX(C44:D44,0)</f>
        <v>0.76</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8.7999999999999995E-2</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0.01</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8.7999999999999995E-2</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0.01</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8.7999999999999995E-2</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0.01</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8.7999999999999995E-2</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0.01</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72</v>
      </c>
      <c r="Q7" s="42">
        <f>C6-C7</f>
        <v>1990</v>
      </c>
      <c r="R7" s="42">
        <f t="shared" ref="R7:R15" si="5">SUM(N7:Q7)</f>
        <v>2062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76</v>
      </c>
      <c r="D8" s="34">
        <f>IF((AND(C67&gt;0,C8&gt;0)),(C8/C67),0)</f>
        <v>105.55555555555556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76</v>
      </c>
      <c r="Q8" s="42">
        <f>(C$67*L67)-C8</f>
        <v>-4</v>
      </c>
      <c r="R8" s="42">
        <f t="shared" si="5"/>
        <v>72.05</v>
      </c>
      <c r="S8" s="30">
        <f t="shared" si="6"/>
        <v>1040.402</v>
      </c>
      <c r="T8" s="30">
        <f t="shared" si="7"/>
        <v>-1080.72</v>
      </c>
      <c r="U8" s="31">
        <f t="shared" si="8"/>
        <v>-0.9626933895921238</v>
      </c>
    </row>
    <row r="9" spans="2:21" ht="18" customHeight="1">
      <c r="B9" s="32" t="str">
        <f>'Data Entry'!A9</f>
        <v xml:space="preserve">4. Cases Diverted </v>
      </c>
      <c r="C9" s="33">
        <f>'Data Entry'!C9</f>
        <v>3</v>
      </c>
      <c r="D9" s="34">
        <f>IF((AND(C68&gt;0,C9&gt;0)),((C9/C68)),0)</f>
        <v>3.9473684210526314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73</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1.3157894736842106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47.368421052631575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40</v>
      </c>
      <c r="R11" s="42">
        <f t="shared" si="5"/>
        <v>76</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52.777777777777779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17</v>
      </c>
      <c r="R12" s="42">
        <f t="shared" si="5"/>
        <v>36</v>
      </c>
      <c r="S12" s="30">
        <f t="shared" si="6"/>
        <v>0</v>
      </c>
      <c r="T12" s="30">
        <f t="shared" si="7"/>
        <v>0</v>
      </c>
      <c r="U12" s="31" t="str">
        <f t="shared" si="8"/>
        <v>- -</v>
      </c>
    </row>
    <row r="13" spans="2:21" ht="18" customHeight="1">
      <c r="B13" s="32" t="str">
        <f>'Data Entry'!A13</f>
        <v>8. Cases Resulting in Probation Placement</v>
      </c>
      <c r="C13" s="33">
        <f>'Data Entry'!C13</f>
        <v>41</v>
      </c>
      <c r="D13" s="34">
        <f>IF(((AND(C70&gt;0,C13&gt;0))),(C13/(C70)),0)</f>
        <v>215.78947368421052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41</v>
      </c>
      <c r="Q13" s="42">
        <f>(C70*L70)-C13</f>
        <v>-22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14</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0</v>
      </c>
      <c r="E42" s="56">
        <f>MAX(C42:D42)</f>
        <v>2.0619999999999998</v>
      </c>
      <c r="G42" s="1" t="str">
        <f>B42</f>
        <v>per 1000 youth</v>
      </c>
      <c r="L42" s="57">
        <v>1000</v>
      </c>
      <c r="M42" s="57"/>
      <c r="R42" s="49"/>
    </row>
    <row r="43" spans="2:18" ht="15" hidden="1" customHeight="1">
      <c r="B43" s="49" t="s">
        <v>87</v>
      </c>
      <c r="C43" s="56">
        <f>C7/100</f>
        <v>0.72</v>
      </c>
      <c r="D43" s="56">
        <f>E7/100</f>
        <v>0</v>
      </c>
      <c r="E43" s="56">
        <f>MAX(C43:D43,0)</f>
        <v>0.72</v>
      </c>
      <c r="G43" s="1" t="str">
        <f>B43</f>
        <v>per 100 arrests</v>
      </c>
      <c r="L43" s="57">
        <v>100</v>
      </c>
      <c r="M43" s="57"/>
      <c r="R43" s="49"/>
    </row>
    <row r="44" spans="2:18" ht="15" hidden="1" customHeight="1">
      <c r="B44" s="49" t="s">
        <v>88</v>
      </c>
      <c r="C44" s="56">
        <f>C8/100</f>
        <v>0.76</v>
      </c>
      <c r="D44" s="56">
        <f>E8/100</f>
        <v>0</v>
      </c>
      <c r="E44" s="56">
        <f>MAX(C44:D44,0)</f>
        <v>0.76</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0</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0</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0</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0</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Gladwin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2062</v>
      </c>
      <c r="D6" s="34"/>
      <c r="E6" s="33">
        <f>'Data Entry'!H6</f>
        <v>17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72</v>
      </c>
      <c r="D7" s="34">
        <f>IF((AND(C66&gt;0,C7&gt;0)),(C7/C66),0)</f>
        <v>34.917555771096026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17</v>
      </c>
      <c r="P7" s="42">
        <f t="shared" ref="P7:P15" si="4">C7</f>
        <v>72</v>
      </c>
      <c r="Q7" s="42">
        <f>C6-C7</f>
        <v>1990</v>
      </c>
      <c r="R7" s="42">
        <f t="shared" ref="R7:R15" si="5">SUM(N7:Q7)</f>
        <v>2079</v>
      </c>
      <c r="S7" s="30">
        <f t="shared" ref="S7:S15" si="6">R7*((((N7*Q7)-(O7*P7))^2))</f>
        <v>3114707904</v>
      </c>
      <c r="T7" s="30">
        <f t="shared" ref="T7:T15" si="7">(N7+O7)*(P7+Q7)*(N7+P7)*(O7+Q7)</f>
        <v>5065443216</v>
      </c>
      <c r="U7" s="31">
        <f t="shared" ref="U7:U15" si="8">IF((S7&gt;0),S7/T7,"- -")</f>
        <v>0.61489345969997344</v>
      </c>
    </row>
    <row r="8" spans="2:21" ht="18" customHeight="1">
      <c r="B8" s="32" t="str">
        <f>'Data Entry'!A8</f>
        <v>3. Refer to Juvenile Court</v>
      </c>
      <c r="C8" s="33">
        <f>'Data Entry'!C8</f>
        <v>76</v>
      </c>
      <c r="D8" s="34">
        <f>IF((AND(C67&gt;0,C8&gt;0)),(C8/C67),0)</f>
        <v>105.55555555555556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76</v>
      </c>
      <c r="Q8" s="42">
        <f>(C$67*L67)-C8</f>
        <v>-4</v>
      </c>
      <c r="R8" s="42">
        <f t="shared" si="5"/>
        <v>72.05</v>
      </c>
      <c r="S8" s="30">
        <f t="shared" si="6"/>
        <v>1040.402</v>
      </c>
      <c r="T8" s="30">
        <f t="shared" si="7"/>
        <v>-1080.72</v>
      </c>
      <c r="U8" s="31">
        <f t="shared" si="8"/>
        <v>-0.9626933895921238</v>
      </c>
    </row>
    <row r="9" spans="2:21" ht="18" customHeight="1">
      <c r="B9" s="32" t="str">
        <f>'Data Entry'!A9</f>
        <v xml:space="preserve">4. Cases Diverted </v>
      </c>
      <c r="C9" s="33">
        <f>'Data Entry'!C9</f>
        <v>3</v>
      </c>
      <c r="D9" s="34">
        <f>IF((AND(C68&gt;0,C9&gt;0)),((C9/C68)),0)</f>
        <v>3.9473684210526314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73</v>
      </c>
      <c r="R9" s="42">
        <f t="shared" si="5"/>
        <v>76</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1.3157894736842106</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75</v>
      </c>
      <c r="R10" s="42">
        <f t="shared" si="5"/>
        <v>76</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47.368421052631575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40</v>
      </c>
      <c r="R11" s="42">
        <f t="shared" si="5"/>
        <v>76</v>
      </c>
      <c r="S11" s="30">
        <f t="shared" si="6"/>
        <v>0</v>
      </c>
      <c r="T11" s="30">
        <f t="shared" si="7"/>
        <v>0</v>
      </c>
      <c r="U11" s="31" t="str">
        <f t="shared" si="8"/>
        <v>- -</v>
      </c>
    </row>
    <row r="12" spans="2:21" ht="18" customHeight="1">
      <c r="B12" s="32" t="str">
        <f>'Data Entry'!A12</f>
        <v>7. Cases Resulting in Delinquent Findings</v>
      </c>
      <c r="C12" s="33">
        <f>'Data Entry'!C12</f>
        <v>19</v>
      </c>
      <c r="D12" s="34">
        <f>IF(((AND(C69&gt;0,C12&gt;0))),(C12/(C69)),0)</f>
        <v>52.777777777777779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v>
      </c>
      <c r="Q12" s="42">
        <f>(C69*L69)-C12</f>
        <v>17</v>
      </c>
      <c r="R12" s="42">
        <f t="shared" si="5"/>
        <v>36</v>
      </c>
      <c r="S12" s="30">
        <f t="shared" si="6"/>
        <v>0</v>
      </c>
      <c r="T12" s="30">
        <f t="shared" si="7"/>
        <v>0</v>
      </c>
      <c r="U12" s="31" t="str">
        <f t="shared" si="8"/>
        <v>- -</v>
      </c>
    </row>
    <row r="13" spans="2:21" ht="18" customHeight="1">
      <c r="B13" s="32" t="str">
        <f>'Data Entry'!A13</f>
        <v>8. Cases Resulting in Probation Placement</v>
      </c>
      <c r="C13" s="33">
        <f>'Data Entry'!C13</f>
        <v>41</v>
      </c>
      <c r="D13" s="34">
        <f>IF(((AND(C70&gt;0,C13&gt;0))),(C13/(C70)),0)</f>
        <v>215.78947368421052</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41</v>
      </c>
      <c r="Q13" s="42">
        <f>(C70*L70)-C13</f>
        <v>-22</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26.315789473684209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14</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2.0619999999999998</v>
      </c>
      <c r="D42" s="56">
        <f>E6/1000</f>
        <v>1.7000000000000001E-2</v>
      </c>
      <c r="E42" s="56">
        <f>MAX(C42:D42)</f>
        <v>2.0619999999999998</v>
      </c>
      <c r="G42" s="1" t="str">
        <f>B42</f>
        <v>per 1000 youth</v>
      </c>
      <c r="L42" s="57">
        <v>1000</v>
      </c>
      <c r="M42" s="57"/>
      <c r="R42" s="49"/>
    </row>
    <row r="43" spans="2:18" ht="15" hidden="1" customHeight="1">
      <c r="B43" s="49" t="s">
        <v>87</v>
      </c>
      <c r="C43" s="56">
        <f>C7/100</f>
        <v>0.72</v>
      </c>
      <c r="D43" s="56">
        <f>E7/100</f>
        <v>0</v>
      </c>
      <c r="E43" s="56">
        <f>MAX(C43:D43,0)</f>
        <v>0.72</v>
      </c>
      <c r="G43" s="1" t="str">
        <f>B43</f>
        <v>per 100 arrests</v>
      </c>
      <c r="L43" s="57">
        <v>100</v>
      </c>
      <c r="M43" s="57"/>
      <c r="R43" s="49"/>
    </row>
    <row r="44" spans="2:18" ht="15" hidden="1" customHeight="1">
      <c r="B44" s="49" t="s">
        <v>88</v>
      </c>
      <c r="C44" s="56">
        <f>C8/100</f>
        <v>0.76</v>
      </c>
      <c r="D44" s="56">
        <f>E8/100</f>
        <v>0</v>
      </c>
      <c r="E44" s="56">
        <f>MAX(C44:D44,0)</f>
        <v>0.76</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0.19</v>
      </c>
      <c r="D46" s="49">
        <f>E12/100</f>
        <v>0</v>
      </c>
      <c r="E46" s="56">
        <f>MAX(C46:D46)</f>
        <v>0.19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2.0619999999999998</v>
      </c>
      <c r="D48" s="56">
        <f>D42</f>
        <v>1.7000000000000001E-2</v>
      </c>
      <c r="E48" s="56">
        <f>MAX(C48:D48)</f>
        <v>2.0619999999999998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0.72</v>
      </c>
      <c r="D49" s="49">
        <f t="shared" si="9"/>
        <v>0</v>
      </c>
      <c r="E49" s="49">
        <f>MAX(C49:D49)</f>
        <v>0.72</v>
      </c>
      <c r="G49" s="1" t="str">
        <f>G43</f>
        <v>per 100 arrests</v>
      </c>
      <c r="L49" s="58">
        <f>IF(($E43&gt;0),L43,L42)</f>
        <v>100</v>
      </c>
      <c r="M49" s="58"/>
      <c r="N49" s="21"/>
      <c r="O49" s="21"/>
      <c r="P49" s="21"/>
      <c r="Q49" s="21"/>
      <c r="R49" s="21"/>
    </row>
    <row r="50" spans="2:18" ht="15" hidden="1" customHeight="1">
      <c r="B50" s="49" t="str">
        <f t="shared" si="9"/>
        <v>per 100 referrals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0.19</v>
      </c>
      <c r="D52" s="49">
        <f>IF(($E46&gt;0),D46,D45)</f>
        <v>0</v>
      </c>
      <c r="E52" s="56">
        <f>MAX(C52:D52)</f>
        <v>0.19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2.0619999999999998</v>
      </c>
      <c r="D54" s="56">
        <f>D48</f>
        <v>1.7000000000000001E-2</v>
      </c>
      <c r="E54" s="56">
        <f>MAX(C54:D54)</f>
        <v>2.0619999999999998</v>
      </c>
      <c r="G54" s="1" t="str">
        <f>G48</f>
        <v>per 1000 youth</v>
      </c>
      <c r="L54" s="58">
        <f>L48</f>
        <v>1000</v>
      </c>
      <c r="M54" s="58"/>
    </row>
    <row r="55" spans="2:18" ht="15" hidden="1" customHeight="1">
      <c r="B55" s="49" t="str">
        <f t="shared" ref="B55:D56" si="10">IF(($E49&gt;0),B49,B48)</f>
        <v>per 100 arrests</v>
      </c>
      <c r="C55" s="49">
        <f t="shared" si="10"/>
        <v>0.72</v>
      </c>
      <c r="D55" s="49">
        <f t="shared" si="10"/>
        <v>0</v>
      </c>
      <c r="E55" s="49">
        <f>MAX(C55:D55)</f>
        <v>0.72</v>
      </c>
      <c r="G55" s="1" t="str">
        <f>G49</f>
        <v>per 100 arrests</v>
      </c>
      <c r="L55" s="58">
        <f>IF(($E49&gt;0),L49,L48)</f>
        <v>100</v>
      </c>
      <c r="M55" s="58"/>
    </row>
    <row r="56" spans="2:18" ht="15" hidden="1" customHeight="1">
      <c r="B56" s="49" t="str">
        <f t="shared" si="10"/>
        <v>per 100 referrals</v>
      </c>
      <c r="C56" s="49">
        <f t="shared" si="10"/>
        <v>0.76</v>
      </c>
      <c r="D56" s="49">
        <f t="shared" si="10"/>
        <v>0</v>
      </c>
      <c r="E56" s="49">
        <f>MAX(C56:D56)</f>
        <v>0.76</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0.19</v>
      </c>
      <c r="D58" s="49">
        <f>IF(($E52&gt;0),D52,D51)</f>
        <v>0</v>
      </c>
      <c r="E58" s="56">
        <f>MAX(C58:D58)</f>
        <v>0.19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2.0619999999999998</v>
      </c>
      <c r="D60" s="56">
        <f>D54</f>
        <v>1.7000000000000001E-2</v>
      </c>
      <c r="E60" s="56">
        <f>MAX(C60:D60)</f>
        <v>2.0619999999999998</v>
      </c>
      <c r="G60" s="1" t="str">
        <f>G54</f>
        <v>per 1000 youth</v>
      </c>
      <c r="L60" s="58">
        <f>L54</f>
        <v>1000</v>
      </c>
      <c r="M60" s="58"/>
    </row>
    <row r="61" spans="2:18" ht="15" hidden="1" customHeight="1">
      <c r="B61" s="49" t="str">
        <f t="shared" ref="B61:D62" si="11">IF(($E55&gt;0),B55,B54)</f>
        <v>per 100 arrests</v>
      </c>
      <c r="C61" s="49">
        <f t="shared" si="11"/>
        <v>0.72</v>
      </c>
      <c r="D61" s="49">
        <f t="shared" si="11"/>
        <v>0</v>
      </c>
      <c r="E61" s="49">
        <f>MAX(C61:D61)</f>
        <v>0.72</v>
      </c>
      <c r="G61" s="1" t="str">
        <f>G55</f>
        <v>per 100 arrests</v>
      </c>
      <c r="L61" s="58">
        <f>IF(($E55&gt;0),L55,L54)</f>
        <v>100</v>
      </c>
      <c r="M61" s="58"/>
    </row>
    <row r="62" spans="2:18" ht="15" hidden="1" customHeight="1">
      <c r="B62" s="49" t="str">
        <f t="shared" si="11"/>
        <v>per 100 referrals</v>
      </c>
      <c r="C62" s="49">
        <f t="shared" si="11"/>
        <v>0.76</v>
      </c>
      <c r="D62" s="49">
        <f t="shared" si="11"/>
        <v>0</v>
      </c>
      <c r="E62" s="49">
        <f>MAX(C62:D62)</f>
        <v>0.76</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0.19</v>
      </c>
      <c r="D64" s="49">
        <f>IF(($E58&gt;0),D58,D57)</f>
        <v>0</v>
      </c>
      <c r="E64" s="56">
        <f>MAX(C64:D64)</f>
        <v>0.19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2.0619999999999998</v>
      </c>
      <c r="D66" s="56">
        <f>D60</f>
        <v>1.7000000000000001E-2</v>
      </c>
      <c r="E66" s="56">
        <f>MAX(C66:D66)</f>
        <v>2.0619999999999998</v>
      </c>
      <c r="G66" s="1" t="str">
        <f>G60</f>
        <v>per 1000 youth</v>
      </c>
      <c r="L66" s="58">
        <f>L60</f>
        <v>1000</v>
      </c>
      <c r="M66" s="58">
        <f>IF((B66=G66),1,2)</f>
        <v>1</v>
      </c>
    </row>
    <row r="67" spans="2:13" ht="15" hidden="1" customHeight="1">
      <c r="B67" s="49" t="str">
        <f t="shared" ref="B67:D68" si="12">IF(($E61&gt;0),B61,B60)</f>
        <v>per 100 arrests</v>
      </c>
      <c r="C67" s="49">
        <f t="shared" si="12"/>
        <v>0.72</v>
      </c>
      <c r="D67" s="49">
        <f t="shared" si="12"/>
        <v>0</v>
      </c>
      <c r="E67" s="49">
        <f>MAX(C67:D67)</f>
        <v>0.72</v>
      </c>
      <c r="G67" s="1" t="str">
        <f>G61</f>
        <v>per 100 arrests</v>
      </c>
      <c r="L67" s="58">
        <f>IF(($E61&gt;0),L61,L60)</f>
        <v>100</v>
      </c>
      <c r="M67" s="58">
        <f>IF((B67=G67),1,2)</f>
        <v>1</v>
      </c>
    </row>
    <row r="68" spans="2:13" ht="15" hidden="1" customHeight="1">
      <c r="B68" s="49" t="str">
        <f t="shared" si="12"/>
        <v>per 100 referrals</v>
      </c>
      <c r="C68" s="49">
        <f t="shared" si="12"/>
        <v>0.76</v>
      </c>
      <c r="D68" s="49">
        <f t="shared" si="12"/>
        <v>0</v>
      </c>
      <c r="E68" s="49">
        <f>MAX(C68:D68)</f>
        <v>0.76</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0.19</v>
      </c>
      <c r="D70" s="49">
        <f>IF(($E64&gt;0),D64,D63)</f>
        <v>0</v>
      </c>
      <c r="E70" s="56">
        <f>MAX(C70:D70)</f>
        <v>0.19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U47JMPN4QEAR-1806752177-35343</_dlc_DocId>
    <_dlc_DocIdUrl xmlns="ac3811b5-0f3e-49e2-ba69-f2ffa0c782af">
      <Url>https://michiganphi.sharepoint.com/sites/CMDMC/_layouts/15/DocIdRedir.aspx?ID=U47JMPN4QEAR-1806752177-35343</Url>
      <Description>U47JMPN4QEAR-1806752177-35343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F58CA8-FCE3-417B-BFC0-427EC7A32615}">
  <ds:schemaRefs>
    <ds:schemaRef ds:uri="http://schemas.microsoft.com/sharepoint/v3/contenttype/forms"/>
  </ds:schemaRefs>
</ds:datastoreItem>
</file>

<file path=customXml/itemProps2.xml><?xml version="1.0" encoding="utf-8"?>
<ds:datastoreItem xmlns:ds="http://schemas.openxmlformats.org/officeDocument/2006/customXml" ds:itemID="{F7D7217B-5FEB-40BB-AA8E-4BD18B20B7D2}"/>
</file>

<file path=customXml/itemProps3.xml><?xml version="1.0" encoding="utf-8"?>
<ds:datastoreItem xmlns:ds="http://schemas.openxmlformats.org/officeDocument/2006/customXml" ds:itemID="{33237B7E-40C4-4C93-9910-34C86A5F321D}">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1AF04962-B7B4-456E-A503-CF9D5712FF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73fa8a5e-b27d-4ed3-8cd1-da95876c7b6f</vt:lpwstr>
  </property>
</Properties>
</file>