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6" documentId="8_{53ABDBCF-1F32-4F89-98EC-11627E7524D5}" xr6:coauthVersionLast="47" xr6:coauthVersionMax="47" xr10:uidLastSave="{E5E5C9C7-2715-4E99-9E10-8DC4AEA5198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2"/>
  <c r="M66" i="2"/>
  <c r="F27" i="4"/>
  <c r="M66" i="4"/>
  <c r="M66" i="7"/>
  <c r="F27" i="7"/>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D49" i="6" s="1"/>
  <c r="E43" i="7"/>
  <c r="C49" i="7" s="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23" i="10"/>
  <c r="C48" i="7"/>
  <c r="E42" i="7"/>
  <c r="C54" i="8"/>
  <c r="E48" i="8"/>
  <c r="H26" i="10"/>
  <c r="D26" i="10"/>
  <c r="I26" i="10"/>
  <c r="C26" i="10"/>
  <c r="E20" i="10"/>
  <c r="C20" i="10"/>
  <c r="G20" i="10"/>
  <c r="H20" i="10"/>
  <c r="D20" i="10"/>
  <c r="G23" i="10"/>
  <c r="G19" i="10"/>
  <c r="E44" i="7"/>
  <c r="H23" i="10"/>
  <c r="E22" i="10"/>
  <c r="E25" i="10"/>
  <c r="F20" i="10"/>
  <c r="D50" i="5" l="1"/>
  <c r="L49" i="7"/>
  <c r="B49" i="6"/>
  <c r="D49" i="7"/>
  <c r="E49" i="7" s="1"/>
  <c r="B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B56" i="8"/>
  <c r="D64" i="5"/>
  <c r="E64" i="5" s="1"/>
  <c r="E58" i="8"/>
  <c r="L64" i="8" s="1"/>
  <c r="L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8" s="1"/>
  <c r="I7" i="9"/>
  <c r="Q8" i="13"/>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70" i="6"/>
  <c r="F13" i="6" s="1"/>
  <c r="C63" i="8"/>
  <c r="C70" i="8" s="1"/>
  <c r="C70" i="6"/>
  <c r="D13" i="6" s="1"/>
  <c r="C70" i="3"/>
  <c r="D14" i="3" s="1"/>
  <c r="L63" i="8"/>
  <c r="L70" i="8" s="1"/>
  <c r="E63" i="3"/>
  <c r="C69" i="3" s="1"/>
  <c r="D15" i="3" s="1"/>
  <c r="L69" i="7"/>
  <c r="L70" i="3"/>
  <c r="L70" i="6"/>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6" l="1"/>
  <c r="Q13" i="3"/>
  <c r="O14" i="6"/>
  <c r="Q12" i="7"/>
  <c r="B69" i="6"/>
  <c r="M69" i="6" s="1"/>
  <c r="B69" i="3"/>
  <c r="M69" i="3" s="1"/>
  <c r="F14" i="6"/>
  <c r="E69" i="7"/>
  <c r="Q14" i="3"/>
  <c r="D13" i="3"/>
  <c r="L69" i="3"/>
  <c r="Q12" i="3" s="1"/>
  <c r="D12" i="3"/>
  <c r="Q15" i="7"/>
  <c r="Q13" i="8"/>
  <c r="E63" i="8"/>
  <c r="D69" i="8" s="1"/>
  <c r="F15" i="8" s="1"/>
  <c r="O13" i="3"/>
  <c r="D14" i="6"/>
  <c r="F14" i="3"/>
  <c r="E70" i="6"/>
  <c r="Q13" i="6"/>
  <c r="T13" i="6" s="1"/>
  <c r="Q14" i="6"/>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K12" i="7"/>
  <c r="F12" i="8"/>
  <c r="F35" i="3"/>
  <c r="K13" i="3"/>
  <c r="R14" i="6"/>
  <c r="S14" i="6" s="1"/>
  <c r="U14" i="6" s="1"/>
  <c r="J14" i="6" s="1"/>
  <c r="M14" i="6" s="1"/>
  <c r="G14" i="6" s="1"/>
  <c r="M15" i="13" s="1"/>
  <c r="T12" i="7"/>
  <c r="F32" i="6"/>
  <c r="F35" i="6"/>
  <c r="K15" i="7"/>
  <c r="T14" i="3"/>
  <c r="B69" i="8"/>
  <c r="M69" i="8" s="1"/>
  <c r="Q15" i="3"/>
  <c r="D15" i="6"/>
  <c r="T15" i="7"/>
  <c r="R12" i="7"/>
  <c r="S12" i="7" s="1"/>
  <c r="U12" i="7" s="1"/>
  <c r="J12" i="7" s="1"/>
  <c r="L12" i="7" s="1"/>
  <c r="S13" i="16" s="1"/>
  <c r="L69" i="8"/>
  <c r="O15" i="8" s="1"/>
  <c r="O15" i="3"/>
  <c r="R13" i="8"/>
  <c r="S13" i="8" s="1"/>
  <c r="O12" i="3"/>
  <c r="R12" i="3" s="1"/>
  <c r="S12" i="3" s="1"/>
  <c r="O12" i="6"/>
  <c r="R13" i="3"/>
  <c r="S13" i="3" s="1"/>
  <c r="U13" i="3" s="1"/>
  <c r="J13" i="3" s="1"/>
  <c r="T13" i="3"/>
  <c r="C69" i="8"/>
  <c r="T14" i="6"/>
  <c r="K14" i="6"/>
  <c r="R13" i="6"/>
  <c r="S13" i="6" s="1"/>
  <c r="U13" i="6" s="1"/>
  <c r="J13" i="6" s="1"/>
  <c r="M13" i="6" s="1"/>
  <c r="G13" i="6" s="1"/>
  <c r="G13" i="9" s="1"/>
  <c r="K13" i="6"/>
  <c r="R14" i="3"/>
  <c r="S14" i="3" s="1"/>
  <c r="U14" i="3" s="1"/>
  <c r="J14" i="3" s="1"/>
  <c r="M14" i="3" s="1"/>
  <c r="G14" i="3" s="1"/>
  <c r="I15" i="16" s="1"/>
  <c r="Q12" i="6"/>
  <c r="Q15" i="6"/>
  <c r="R14" i="8"/>
  <c r="S14" i="8" s="1"/>
  <c r="F15" i="3"/>
  <c r="F12" i="3"/>
  <c r="T13" i="8"/>
  <c r="R15" i="7"/>
  <c r="S15" i="7" s="1"/>
  <c r="U15" i="7" s="1"/>
  <c r="J15" i="7" s="1"/>
  <c r="E69" i="6"/>
  <c r="K14" i="3"/>
  <c r="O15" i="6"/>
  <c r="K15" i="6" s="1"/>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3" l="1"/>
  <c r="L15" i="7"/>
  <c r="S16" i="16" s="1"/>
  <c r="U13" i="8"/>
  <c r="J13" i="8" s="1"/>
  <c r="M13" i="8" s="1"/>
  <c r="G13" i="8" s="1"/>
  <c r="Q14" i="13" s="1"/>
  <c r="O12" i="8"/>
  <c r="M12" i="7"/>
  <c r="R12" i="6"/>
  <c r="S12" i="6" s="1"/>
  <c r="U12" i="6" s="1"/>
  <c r="J12" i="6" s="1"/>
  <c r="M12" i="6" s="1"/>
  <c r="G12" i="6" s="1"/>
  <c r="L13" i="3"/>
  <c r="P14" i="16" s="1"/>
  <c r="Q12" i="8"/>
  <c r="M13" i="3"/>
  <c r="G13" i="3" s="1"/>
  <c r="I14" i="16" s="1"/>
  <c r="Q15" i="8"/>
  <c r="R15" i="8" s="1"/>
  <c r="S15" i="8" s="1"/>
  <c r="U15" i="8" s="1"/>
  <c r="J15" i="8" s="1"/>
  <c r="F32" i="8"/>
  <c r="F35" i="8"/>
  <c r="K15" i="3"/>
  <c r="T15" i="3"/>
  <c r="R15" i="3"/>
  <c r="S15" i="3" s="1"/>
  <c r="U15" i="3" s="1"/>
  <c r="J15" i="3" s="1"/>
  <c r="M15" i="3" s="1"/>
  <c r="G15" i="3" s="1"/>
  <c r="I16" i="16" s="1"/>
  <c r="R15" i="6"/>
  <c r="S15" i="6" s="1"/>
  <c r="U15" i="6" s="1"/>
  <c r="J15" i="6" s="1"/>
  <c r="L15" i="6" s="1"/>
  <c r="R16" i="16" s="1"/>
  <c r="T15" i="6"/>
  <c r="D15" i="8"/>
  <c r="D12" i="8"/>
  <c r="E69" i="8"/>
  <c r="I15" i="13"/>
  <c r="L14" i="3"/>
  <c r="P15" i="16" s="1"/>
  <c r="K12" i="6"/>
  <c r="E14" i="9"/>
  <c r="N30" i="3"/>
  <c r="L13" i="6"/>
  <c r="R14" i="16" s="1"/>
  <c r="T12" i="6"/>
  <c r="U14" i="8"/>
  <c r="J14" i="8" s="1"/>
  <c r="N30" i="8" s="1"/>
  <c r="M15" i="7"/>
  <c r="M14" i="13"/>
  <c r="M13" i="9"/>
  <c r="U14" i="13"/>
  <c r="U12" i="13"/>
  <c r="M11" i="9"/>
  <c r="T13" i="2"/>
  <c r="U8" i="6"/>
  <c r="J8" i="6" s="1"/>
  <c r="M8" i="6" s="1"/>
  <c r="G8" i="6" s="1"/>
  <c r="M9" i="13" s="1"/>
  <c r="R13" i="2"/>
  <c r="S13" i="2" s="1"/>
  <c r="V11" i="13"/>
  <c r="G14" i="9"/>
  <c r="Q12" i="9"/>
  <c r="R10" i="7"/>
  <c r="S10" i="7" s="1"/>
  <c r="U10" i="7" s="1"/>
  <c r="J10" i="7" s="1"/>
  <c r="T11" i="7"/>
  <c r="T10" i="7"/>
  <c r="L8" i="2"/>
  <c r="N9" i="16" s="1"/>
  <c r="Y13" i="13"/>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1" i="7" l="1"/>
  <c r="J11" i="7" s="1"/>
  <c r="L13" i="8"/>
  <c r="T14" i="16" s="1"/>
  <c r="K14" i="16"/>
  <c r="I13" i="9"/>
  <c r="K12" i="8"/>
  <c r="L12" i="6"/>
  <c r="R13" i="16" s="1"/>
  <c r="I14" i="13"/>
  <c r="T12" i="8"/>
  <c r="R12" i="8"/>
  <c r="S12" i="8" s="1"/>
  <c r="E13" i="9"/>
  <c r="V14" i="13"/>
  <c r="N13" i="9"/>
  <c r="P13" i="9"/>
  <c r="K15" i="8"/>
  <c r="L15" i="8" s="1"/>
  <c r="T16" i="16" s="1"/>
  <c r="T15" i="8"/>
  <c r="M15" i="6"/>
  <c r="G15" i="6" s="1"/>
  <c r="M16" i="13" s="1"/>
  <c r="L14" i="8"/>
  <c r="T15" i="16" s="1"/>
  <c r="E15" i="9"/>
  <c r="L15" i="3"/>
  <c r="P16" i="16" s="1"/>
  <c r="I16" i="13"/>
  <c r="X14" i="13"/>
  <c r="V15" i="13"/>
  <c r="N14" i="9"/>
  <c r="U13" i="2"/>
  <c r="J13" i="2" s="1"/>
  <c r="M13" i="2" s="1"/>
  <c r="G13" i="2" s="1"/>
  <c r="E14" i="16" s="1"/>
  <c r="M14" i="8"/>
  <c r="G14" i="8" s="1"/>
  <c r="K15" i="16" s="1"/>
  <c r="L8" i="6"/>
  <c r="R9" i="16" s="1"/>
  <c r="L10" i="7"/>
  <c r="S11" i="16" s="1"/>
  <c r="X16" i="13"/>
  <c r="P15" i="9"/>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U12" i="8" l="1"/>
  <c r="J12" i="8" s="1"/>
  <c r="M12" i="8" s="1"/>
  <c r="G12" i="8" s="1"/>
  <c r="K13" i="16" s="1"/>
  <c r="Z14" i="13"/>
  <c r="R13" i="9"/>
  <c r="P12" i="9"/>
  <c r="G15" i="9"/>
  <c r="Z15" i="13"/>
  <c r="L12" i="8"/>
  <c r="T13" i="16" s="1"/>
  <c r="R14" i="9"/>
  <c r="N15" i="9"/>
  <c r="V16" i="13"/>
  <c r="C13" i="9"/>
  <c r="Q15" i="13"/>
  <c r="E14" i="13"/>
  <c r="L13" i="2"/>
  <c r="N14" i="16" s="1"/>
  <c r="I14" i="9"/>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Z13" i="13"/>
  <c r="R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<sst xmlns="http://schemas.openxmlformats.org/spreadsheetml/2006/main" count="654" uniqueCount="141">
  <si>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</si>
  <si>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</si>
  <si>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</si>
  <si>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</si>
  <si>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</si>
  <si>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</si>
  <si>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</si>
  <si>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</si>
  <si>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</si>
  <si>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</si>
  <si>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</si>
  <si>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</si>
  <si>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</si>
  <si>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</si>
  <si>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</si>
  <si>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</si>
  <si>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</si>
  <si>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</si>
  <si>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</si>
  <si>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</si>
  <si>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</si>
  <si>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</si>
  <si>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</si>
  <si>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</si>
  <si>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</si>
  <si>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</si>
  <si>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</si>
  <si>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</si>
  <si>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</si>
  <si>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</si>
  <si>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</si>
  <si>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</si>
  <si>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</si>
  <si>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</si>
  <si>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</si>
  <si>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</si>
  <si>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</si>
  <si>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</si>
  <si>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</si>
  <si>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</si>
  <si>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</si>
  <si>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</si>
  <si>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</si>
  <si>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</si>
  <si>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</si>
  <si>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</si>
  <si>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</si>
  <si>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</si>
  <si>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</si>
  <si>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</si>
  <si>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</si>
  <si>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</si>
  <si>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</si>
  <si>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</si>
  <si>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</si>
  <si>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</si>
  <si>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</si>
  <si>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</si>
  <si>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</si>
  <si>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</si>
  <si>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</si>
  <si>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</si>
  <si>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</si>
  <si>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</si>
  <si>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</si>
  <si>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</si>
  <si>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</si>
  <si>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</si>
  <si>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</si>
  <si>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</si>
  <si>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</si>
  <si>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</si>
  <si>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</si>
  <si>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</si>
  <si>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</si>
  <si>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</si>
  <si>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</si>
  <si>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</si>
  <si>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</si>
  <si>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</si>
  <si>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</si>
  <si>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</si>
  <si>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</si>
  <si>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</si>
  <si>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</si>
  <si>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</si>
  <si>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</si>
  <si>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</si>
  <si>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</si>
  <si>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</si>
  <si>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</si>
  <si>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</si>
  <si>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</si>
  <si>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</si>
  <si>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</si>
  <si>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</si>
  <si>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</si>
  <si>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</si>
  <si>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</si>
  <si>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</si>
  <si>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</si>
  <si>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</si>
  <si>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</si>
  <si>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</si>
  <si>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</si>
  <si>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</si>
  <si>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</si>
  <si>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</si>
  <si>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</si>
  <si>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</si>
  <si>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</si>
  <si>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</si>
  <si>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</si>
  <si>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</si>
  <si>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</si>
  <si>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</si>
  <si>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</si>
  <si>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</si>
  <si>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</si>
  <si>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</si>
  <si>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</si>
  <si>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</si>
  <si>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</si>
  <si>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</si>
  <si>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</si>
  <si>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</si>
  <si>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</si>
  <si>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</si>
  <si>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</si>
  <si>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</si>
  <si>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</si>
  <si>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</si>
  <si>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</si>
  <si>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</si>
  <si>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</si>
  <si>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</si>
  <si>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Gladwin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</si>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</sst>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Gladwin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N=25</c:v>
                </c:pt>
                <c:pt idx="3">
                  <c:v>Petitions, total N=45</c:v>
                </c:pt>
                <c:pt idx="4">
                  <c:v>Detentions, total N=0</c:v>
                </c:pt>
                <c:pt idx="5">
                  <c:v>Referrals, total N=77</c:v>
                </c:pt>
                <c:pt idx="6">
                  <c:v>Arrests, total N=73</c:v>
                </c:pt>
                <c:pt idx="7">
                  <c:v>Population, total N=2117</c:v>
                </c:pt>
              </c:strCache>
            </c:strRef>
          </c:cat>
          <c:val>
            <c:numRef>
              <c:f>'Stacked 100%'!$B$7:$B$14</c:f>
              <c:numCache>
                <c:formatCode>0%</c:formatCode>
                <c:ptCount val="8"/>
                <c:pt idx="0">
                  <c:v>0</c:v>
                </c:pt>
                <c:pt idx="1">
                  <c:v>0</c:v>
                </c:pt>
                <c:pt idx="2">
                  <c:v>0</c:v>
                </c:pt>
                <c:pt idx="3">
                  <c:v>0</c:v>
                </c:pt>
                <c:pt idx="4">
                  <c:v>0</c:v>
                </c:pt>
                <c:pt idx="5">
                  <c:v>0</c:v>
                </c:pt>
                <c:pt idx="6">
                  <c:v>0</c:v>
                </c:pt>
                <c:pt idx="7">
                  <c:v>1.4643363249881908E-2</c:v>
                </c:pt>
              </c:numCache>
            </c:numRef>
          </c:val>
          <c:extLst>
            <c:ext xmlns:c16="http://schemas.microsoft.com/office/drawing/2014/chart" uri="{C3380CC4-5D6E-409C-BE32-E72D297353CC}">
              <c16:uniqueId val="{00000000-6A43-44B2-A92D-55E2CEC624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N=25</c:v>
                </c:pt>
                <c:pt idx="3">
                  <c:v>Petitions, total N=45</c:v>
                </c:pt>
                <c:pt idx="4">
                  <c:v>Detentions, total N=0</c:v>
                </c:pt>
                <c:pt idx="5">
                  <c:v>Referrals, total N=77</c:v>
                </c:pt>
                <c:pt idx="6">
                  <c:v>Arrests, total N=73</c:v>
                </c:pt>
                <c:pt idx="7">
                  <c:v>Population, total N=2117</c:v>
                </c:pt>
              </c:strCache>
            </c:strRef>
          </c:cat>
          <c:val>
            <c:numRef>
              <c:f>'Stacked 100%'!$C$7:$C$14</c:f>
              <c:numCache>
                <c:formatCode>0%</c:formatCode>
                <c:ptCount val="8"/>
                <c:pt idx="0">
                  <c:v>0</c:v>
                </c:pt>
                <c:pt idx="1">
                  <c:v>0</c:v>
                </c:pt>
                <c:pt idx="2">
                  <c:v>0</c:v>
                </c:pt>
                <c:pt idx="3">
                  <c:v>0</c:v>
                </c:pt>
                <c:pt idx="4">
                  <c:v>0</c:v>
                </c:pt>
                <c:pt idx="5">
                  <c:v>0</c:v>
                </c:pt>
                <c:pt idx="6">
                  <c:v>0</c:v>
                </c:pt>
                <c:pt idx="7">
                  <c:v>3.2593292394898443E-2</c:v>
                </c:pt>
              </c:numCache>
            </c:numRef>
          </c:val>
          <c:extLst>
            <c:ext xmlns:c16="http://schemas.microsoft.com/office/drawing/2014/chart" uri="{C3380CC4-5D6E-409C-BE32-E72D297353CC}">
              <c16:uniqueId val="{00000001-6A43-44B2-A92D-55E2CEC624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N=6</c:v>
                </c:pt>
                <c:pt idx="2">
                  <c:v>Delinquent Findings, total N=25</c:v>
                </c:pt>
                <c:pt idx="3">
                  <c:v>Petitions, total N=45</c:v>
                </c:pt>
                <c:pt idx="4">
                  <c:v>Detentions, total N=0</c:v>
                </c:pt>
                <c:pt idx="5">
                  <c:v>Referrals, total N=77</c:v>
                </c:pt>
                <c:pt idx="6">
                  <c:v>Arrests, total N=73</c:v>
                </c:pt>
                <c:pt idx="7">
                  <c:v>Population, total N=2117</c:v>
                </c:pt>
              </c:strCache>
            </c:strRef>
          </c:cat>
          <c:val>
            <c:numRef>
              <c:f>'Stacked 100%'!$H$7:$H$14</c:f>
              <c:numCache>
                <c:formatCode>0%</c:formatCode>
                <c:ptCount val="8"/>
                <c:pt idx="0">
                  <c:v>0</c:v>
                </c:pt>
                <c:pt idx="1">
                  <c:v>0</c:v>
                </c:pt>
                <c:pt idx="2">
                  <c:v>1.6000000000000001E-3</c:v>
                </c:pt>
                <c:pt idx="3">
                  <c:v>4.9382716049382717E-4</c:v>
                </c:pt>
                <c:pt idx="4">
                  <c:v>0</c:v>
                </c:pt>
                <c:pt idx="5">
                  <c:v>1.6866250632484401E-4</c:v>
                </c:pt>
                <c:pt idx="6">
                  <c:v>0</c:v>
                </c:pt>
                <c:pt idx="7">
                  <c:v>6.2476445822099662E-6</c:v>
                </c:pt>
              </c:numCache>
            </c:numRef>
          </c:val>
          <c:extLst>
            <c:ext xmlns:c16="http://schemas.microsoft.com/office/drawing/2014/chart" uri="{C3380CC4-5D6E-409C-BE32-E72D297353CC}">
              <c16:uniqueId val="{00000002-6A43-44B2-A92D-55E2CEC624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N=25</c:v>
                </c:pt>
                <c:pt idx="3">
                  <c:v>Petitions, total N=45</c:v>
                </c:pt>
                <c:pt idx="4">
                  <c:v>Detentions, total N=0</c:v>
                </c:pt>
                <c:pt idx="5">
                  <c:v>Referrals, total N=77</c:v>
                </c:pt>
                <c:pt idx="6">
                  <c:v>Arrests, total N=73</c:v>
                </c:pt>
                <c:pt idx="7">
                  <c:v>Population, total N=2117</c:v>
                </c:pt>
              </c:strCache>
            </c:strRef>
          </c:cat>
          <c:val>
            <c:numRef>
              <c:f>'Stacked 100%'!$I$7:$I$14</c:f>
              <c:numCache>
                <c:formatCode>0%</c:formatCode>
                <c:ptCount val="8"/>
                <c:pt idx="0">
                  <c:v>0</c:v>
                </c:pt>
                <c:pt idx="1">
                  <c:v>0.33333333333333331</c:v>
                </c:pt>
                <c:pt idx="2">
                  <c:v>0.32</c:v>
                </c:pt>
                <c:pt idx="3">
                  <c:v>0.13333333333333333</c:v>
                </c:pt>
                <c:pt idx="4">
                  <c:v>0</c:v>
                </c:pt>
                <c:pt idx="5">
                  <c:v>0.15584415584415584</c:v>
                </c:pt>
                <c:pt idx="6">
                  <c:v>0.82191780821917804</c:v>
                </c:pt>
                <c:pt idx="7">
                  <c:v>0.93953708077468112</c:v>
                </c:pt>
              </c:numCache>
            </c:numRef>
          </c:val>
          <c:extLst>
            <c:ext xmlns:c16="http://schemas.microsoft.com/office/drawing/2014/chart" uri="{C3380CC4-5D6E-409C-BE32-E72D297353CC}">
              <c16:uniqueId val="{00000003-6A43-44B2-A92D-55E2CEC624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N=6</c:v>
                </c:pt>
                <c:pt idx="2">
                  <c:v>Delinquent Findings, total N=25</c:v>
                </c:pt>
                <c:pt idx="3">
                  <c:v>Petitions, total N=45</c:v>
                </c:pt>
                <c:pt idx="4">
                  <c:v>Detentions, total N=0</c:v>
                </c:pt>
                <c:pt idx="5">
                  <c:v>Referrals, total N=77</c:v>
                </c:pt>
                <c:pt idx="6">
                  <c:v>Arrests, total N=73</c:v>
                </c:pt>
                <c:pt idx="7">
                  <c:v>Population, total N=2117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A43-44B2-A92D-55E2CEC624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2117</v>
      </c>
      <c r="C6" s="11">
        <v>1989</v>
      </c>
      <c r="D6" s="11">
        <v>31</v>
      </c>
      <c r="E6" s="11">
        <v>69</v>
      </c>
      <c r="F6" s="11">
        <v>12</v>
      </c>
      <c r="G6" s="11"/>
      <c r="H6" s="11">
        <v>16</v>
      </c>
      <c r="I6" s="11"/>
      <c r="J6" s="91">
        <f>SUM(D6:I6)</f>
        <v>128</v>
      </c>
      <c r="K6" s="92"/>
    </row>
    <row r="7" spans="1:11" ht="15.75" customHeight="1" thickBot="1">
      <c r="A7" s="10" t="s">
        <v>8</v>
      </c>
      <c r="B7" s="11">
        <f t="shared" ref="B7:B15" si="0">SUM(C7:I7)+K7</f>
        <v>73</v>
      </c>
      <c r="C7" s="11">
        <v>60</v>
      </c>
      <c r="D7" s="11"/>
      <c r="E7" s="11"/>
      <c r="F7" s="11"/>
      <c r="G7" s="11"/>
      <c r="H7" s="11"/>
      <c r="I7" s="11"/>
      <c r="J7" s="91">
        <f t="shared" ref="J7:J15" si="1">SUM(D7:I7)</f>
        <v>0</v>
      </c>
      <c r="K7" s="92">
        <v>13</v>
      </c>
    </row>
    <row r="8" spans="1:11" ht="15.75" customHeight="1" thickBot="1">
      <c r="A8" s="10" t="s">
        <v>9</v>
      </c>
      <c r="B8" s="11">
        <f t="shared" si="0"/>
        <v>77</v>
      </c>
      <c r="C8" s="11">
        <v>12</v>
      </c>
      <c r="D8" s="11"/>
      <c r="E8" s="11"/>
      <c r="F8" s="11"/>
      <c r="G8" s="11"/>
      <c r="H8" s="11"/>
      <c r="I8" s="11">
        <v>1</v>
      </c>
      <c r="J8" s="91">
        <f t="shared" si="1"/>
        <v>1</v>
      </c>
      <c r="K8" s="92">
        <v>64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45</v>
      </c>
      <c r="C11" s="11">
        <v>6</v>
      </c>
      <c r="D11" s="11"/>
      <c r="E11" s="11"/>
      <c r="F11" s="11"/>
      <c r="G11" s="11"/>
      <c r="H11" s="11"/>
      <c r="I11" s="11">
        <v>1</v>
      </c>
      <c r="J11" s="91">
        <f t="shared" si="1"/>
        <v>1</v>
      </c>
      <c r="K11" s="92">
        <v>38</v>
      </c>
    </row>
    <row r="12" spans="1:11" ht="15.75" customHeight="1" thickBot="1">
      <c r="A12" s="10" t="s">
        <v>13</v>
      </c>
      <c r="B12" s="11">
        <f t="shared" si="0"/>
        <v>25</v>
      </c>
      <c r="C12" s="11">
        <v>8</v>
      </c>
      <c r="D12" s="11"/>
      <c r="E12" s="11"/>
      <c r="F12" s="11"/>
      <c r="G12" s="11"/>
      <c r="H12" s="11"/>
      <c r="I12" s="11">
        <v>1</v>
      </c>
      <c r="J12" s="91">
        <f t="shared" si="1"/>
        <v>1</v>
      </c>
      <c r="K12" s="92">
        <v>16</v>
      </c>
    </row>
    <row r="13" spans="1:11" ht="15.75" customHeight="1" thickBot="1">
      <c r="A13" s="10" t="s">
        <v>133</v>
      </c>
      <c r="B13" s="11">
        <f t="shared" si="0"/>
        <v>6</v>
      </c>
      <c r="C13" s="11">
        <v>4</v>
      </c>
      <c r="D13" s="11"/>
      <c r="E13" s="11"/>
      <c r="F13" s="11"/>
      <c r="G13" s="11"/>
      <c r="H13" s="11"/>
      <c r="I13" s="11"/>
      <c r="J13" s="91">
        <f t="shared" si="1"/>
        <v>0</v>
      </c>
      <c r="K13" s="92">
        <v>2</v>
      </c>
    </row>
    <row r="14" spans="1:11" ht="26.25" customHeight="1" thickBot="1">
      <c r="A14" s="10" t="s">
        <v>123</v>
      </c>
      <c r="B14" s="11">
        <f t="shared" si="0"/>
        <v>6</v>
      </c>
      <c r="C14" s="11">
        <v>2</v>
      </c>
      <c r="D14" s="11"/>
      <c r="E14" s="11"/>
      <c r="F14" s="11"/>
      <c r="G14" s="11"/>
      <c r="H14" s="11"/>
      <c r="I14" s="11"/>
      <c r="J14" s="91">
        <f t="shared" si="1"/>
        <v>0</v>
      </c>
      <c r="K14" s="92">
        <v>4</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60</v>
      </c>
      <c r="Q7" s="42">
        <f>C6-C7</f>
        <v>1929</v>
      </c>
      <c r="R7" s="42">
        <f t="shared" ref="R7:R15" si="5">SUM(N7:Q7)</f>
        <v>1989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v>
      </c>
      <c r="D8" s="34">
        <f>IF((AND(C67&gt;0,C8&gt;0)),(C8/C67),0)</f>
        <v>20</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12</v>
      </c>
      <c r="Q8" s="42">
        <f>(C$67*L67)-C8</f>
        <v>48</v>
      </c>
      <c r="R8" s="42">
        <f t="shared" si="5"/>
        <v>60.05</v>
      </c>
      <c r="S8" s="30">
        <f t="shared" si="6"/>
        <v>211878.01799999998</v>
      </c>
      <c r="T8" s="30">
        <f t="shared" si="7"/>
        <v>1834.9500000000016</v>
      </c>
      <c r="U8" s="31">
        <f t="shared" si="8"/>
        <v>115.46800621270323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12</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12</v>
      </c>
      <c r="R10" s="42">
        <f t="shared" si="5"/>
        <v>13</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6</v>
      </c>
      <c r="Q11" s="42">
        <f>(C$68*L68)-C11</f>
        <v>6</v>
      </c>
      <c r="R11" s="42">
        <f t="shared" si="5"/>
        <v>13</v>
      </c>
      <c r="S11" s="30">
        <f t="shared" si="6"/>
        <v>468</v>
      </c>
      <c r="T11" s="30">
        <f t="shared" si="7"/>
        <v>504</v>
      </c>
      <c r="U11" s="31">
        <f t="shared" si="8"/>
        <v>0.9285714285714286</v>
      </c>
    </row>
    <row r="12" spans="2:21" ht="18" customHeight="1">
      <c r="B12" s="32" t="str">
        <f>'Data Entry'!A12</f>
        <v>7. Cases Resulting in Delinquent Findings</v>
      </c>
      <c r="C12" s="33">
        <f>'Data Entry'!C12</f>
        <v>8</v>
      </c>
      <c r="D12" s="34">
        <f>IF(((AND(C69&gt;0,C12&gt;0))),(C12/(C69)),0)</f>
        <v>133.33333333333334</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8</v>
      </c>
      <c r="Q12" s="42">
        <f>(C69*L69)-C12</f>
        <v>-2</v>
      </c>
      <c r="R12" s="42">
        <f t="shared" si="5"/>
        <v>7</v>
      </c>
      <c r="S12" s="30">
        <f t="shared" si="6"/>
        <v>28</v>
      </c>
      <c r="T12" s="30">
        <f t="shared" si="7"/>
        <v>-108</v>
      </c>
      <c r="U12" s="31">
        <f t="shared" si="8"/>
        <v>-0.25925925925925924</v>
      </c>
    </row>
    <row r="13" spans="2:21" ht="18" customHeight="1">
      <c r="B13" s="32" t="str">
        <f>'Data Entry'!A13</f>
        <v>8. Cases Resulting in Probation Placement</v>
      </c>
      <c r="C13" s="33">
        <f>'Data Entry'!C13</f>
        <v>4</v>
      </c>
      <c r="D13" s="34">
        <f>IF(((AND(C70&gt;0,C13&gt;0))),(C13/(C70)),0)</f>
        <v>50</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1</v>
      </c>
      <c r="P13" s="42">
        <f t="shared" si="4"/>
        <v>4</v>
      </c>
      <c r="Q13" s="42">
        <f>(C70*L70)-C13</f>
        <v>4</v>
      </c>
      <c r="R13" s="42">
        <f t="shared" si="5"/>
        <v>9</v>
      </c>
      <c r="S13" s="30">
        <f t="shared" si="6"/>
        <v>144</v>
      </c>
      <c r="T13" s="30">
        <f t="shared" si="7"/>
        <v>160</v>
      </c>
      <c r="U13" s="31">
        <f t="shared" si="8"/>
        <v>0.9</v>
      </c>
    </row>
    <row r="14" spans="2:21" ht="30.75" customHeight="1">
      <c r="B14" s="32" t="str">
        <f>'Data Entry'!A14</f>
        <v xml:space="preserve">9. Cases Resulting in Confinement in Secure Juvenile Correctional Facilities </v>
      </c>
      <c r="C14" s="33">
        <f>'Data Entry'!C14</f>
        <v>2</v>
      </c>
      <c r="D14" s="34">
        <f>IF(((AND(C70&gt;0,C14&gt;0))), ((C14/(C70))),0)</f>
        <v>25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2</v>
      </c>
      <c r="Q14" s="42">
        <f>(C70*L70)-C14</f>
        <v>6</v>
      </c>
      <c r="R14" s="42">
        <f t="shared" si="5"/>
        <v>9</v>
      </c>
      <c r="S14" s="30">
        <f t="shared" si="6"/>
        <v>36</v>
      </c>
      <c r="T14" s="30">
        <f t="shared" si="7"/>
        <v>112</v>
      </c>
      <c r="U14" s="31">
        <f t="shared" si="8"/>
        <v>0.32142857142857145</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v>
      </c>
      <c r="R15" s="42">
        <f t="shared" si="5"/>
        <v>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0.01</v>
      </c>
      <c r="E44" s="56">
        <f>MAX(C44:D44,0)</f>
        <v>0.12</v>
      </c>
      <c r="G44" s="1" t="str">
        <f>B44</f>
        <v>per 100 referrals</v>
      </c>
      <c r="L44" s="57">
        <v>100</v>
      </c>
      <c r="M44" s="57"/>
      <c r="R44" s="49"/>
    </row>
    <row r="45" spans="2:18" ht="15" hidden="1" customHeight="1">
      <c r="B45" s="49" t="s">
        <v>89</v>
      </c>
      <c r="C45" s="49">
        <f>C11/100</f>
        <v>0.06</v>
      </c>
      <c r="D45" s="49">
        <f>E11/100</f>
        <v>0.01</v>
      </c>
      <c r="E45" s="56">
        <f>MAX(C45:D45,0)</f>
        <v>0.06</v>
      </c>
      <c r="G45" s="1" t="str">
        <f>B45</f>
        <v>per 100 youth petitioned</v>
      </c>
      <c r="L45" s="57">
        <v>100</v>
      </c>
      <c r="M45" s="57"/>
      <c r="R45" s="49"/>
    </row>
    <row r="46" spans="2:18" ht="15" hidden="1" customHeight="1">
      <c r="B46" s="49" t="s">
        <v>90</v>
      </c>
      <c r="C46" s="49">
        <f>C12/100</f>
        <v>0.08</v>
      </c>
      <c r="D46" s="49">
        <f>E12/100</f>
        <v>0.01</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0.01</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0.01</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0.01</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0.01</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0.01</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0.01</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0.01</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0.01</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0.01</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0.01</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Entry'!J6</f>
        <v>128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128</v>
      </c>
      <c r="P7" s="42">
        <f t="shared" ref="P7:P15" si="4">C7</f>
        <v>60</v>
      </c>
      <c r="Q7" s="42">
        <f>C6-C7</f>
        <v>1929</v>
      </c>
      <c r="R7" s="42">
        <f t="shared" ref="R7:R15" si="5">SUM(N7:Q7)</f>
        <v>2117</v>
      </c>
      <c r="S7" s="30">
        <f t="shared" ref="S7:S15" si="6">R7*((((N7*Q7)-(O7*P7))^2))</f>
        <v>124865740800</v>
      </c>
      <c r="T7" s="30">
        <f t="shared" ref="T7:T15" si="7">(N7+O7)*(P7+Q7)*(N7+P7)*(O7+Q7)</f>
        <v>31421744640</v>
      </c>
      <c r="U7" s="31">
        <f t="shared" ref="U7:U15" si="8">IF((S7&gt;0),S7/T7,"- -")</f>
        <v>3.9738640304856094</v>
      </c>
    </row>
    <row r="8" spans="2:21" ht="18" customHeight="1">
      <c r="B8" s="32" t="str">
        <f>'Data Entry'!A8</f>
        <v>3. Refer to Juvenile Court</v>
      </c>
      <c r="C8" s="33">
        <f>'Data Entry'!C8</f>
        <v>12</v>
      </c>
      <c r="D8" s="34">
        <f>IF((AND(C67&gt;0,C8&gt;0)),(C8/C67),0)</f>
        <v>20</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12</v>
      </c>
      <c r="Q8" s="42">
        <f>(C$67*L67)-C8</f>
        <v>48</v>
      </c>
      <c r="R8" s="42">
        <f t="shared" si="5"/>
        <v>60.05</v>
      </c>
      <c r="S8" s="30">
        <f t="shared" si="6"/>
        <v>211878.01799999998</v>
      </c>
      <c r="T8" s="30">
        <f t="shared" si="7"/>
        <v>1834.9500000000016</v>
      </c>
      <c r="U8" s="31">
        <f t="shared" si="8"/>
        <v>115.46800621270323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12</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12</v>
      </c>
      <c r="R10" s="42">
        <f t="shared" si="5"/>
        <v>13</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Entry'!J11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6</v>
      </c>
      <c r="Q11" s="42">
        <f>(C$68*L68)-C11</f>
        <v>6</v>
      </c>
      <c r="R11" s="42">
        <f t="shared" si="5"/>
        <v>13</v>
      </c>
      <c r="S11" s="30">
        <f t="shared" si="6"/>
        <v>468</v>
      </c>
      <c r="T11" s="30">
        <f t="shared" si="7"/>
        <v>504</v>
      </c>
      <c r="U11" s="31">
        <f t="shared" si="8"/>
        <v>0.9285714285714286</v>
      </c>
    </row>
    <row r="12" spans="2:21" ht="18" customHeight="1">
      <c r="B12" s="32" t="str">
        <f>'Data Entry'!A12</f>
        <v>7. Cases Resulting in Delinquent Findings</v>
      </c>
      <c r="C12" s="33">
        <f>'Data Entry'!C12</f>
        <v>8</v>
      </c>
      <c r="D12" s="34">
        <f>IF(((AND(C69&gt;0,C12&gt;0))),(C12/(C69)),0)</f>
        <v>133.33333333333334</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8</v>
      </c>
      <c r="Q12" s="42">
        <f>(C69*L69)-C12</f>
        <v>-2</v>
      </c>
      <c r="R12" s="42">
        <f t="shared" si="5"/>
        <v>7</v>
      </c>
      <c r="S12" s="30">
        <f t="shared" si="6"/>
        <v>28</v>
      </c>
      <c r="T12" s="30">
        <f t="shared" si="7"/>
        <v>-108</v>
      </c>
      <c r="U12" s="31">
        <f t="shared" si="8"/>
        <v>-0.25925925925925924</v>
      </c>
    </row>
    <row r="13" spans="2:21" ht="18" customHeight="1">
      <c r="B13" s="32" t="str">
        <f>'Data Entry'!A13</f>
        <v>8. Cases Resulting in Probation Placement</v>
      </c>
      <c r="C13" s="33">
        <f>'Data Entry'!C13</f>
        <v>4</v>
      </c>
      <c r="D13" s="34">
        <f>IF(((AND(C70&gt;0,C13&gt;0))),(C13/(C70)),0)</f>
        <v>50</v>
      </c>
      <c r="E13" s="33">
        <f>'Data Entry'!J13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4</v>
      </c>
      <c r="Q13" s="42">
        <f>(C70*L70)-C13</f>
        <v>4</v>
      </c>
      <c r="R13" s="42">
        <f t="shared" si="5"/>
        <v>9</v>
      </c>
      <c r="S13" s="30">
        <f t="shared" si="6"/>
        <v>144</v>
      </c>
      <c r="T13" s="30">
        <f t="shared" si="7"/>
        <v>160</v>
      </c>
      <c r="U13" s="31">
        <f t="shared" si="8"/>
        <v>0.9</v>
      </c>
    </row>
    <row r="14" spans="2:21" ht="30.75" customHeight="1">
      <c r="B14" s="32" t="str">
        <f>'Data Entry'!A14</f>
        <v xml:space="preserve">9. Cases Resulting in Confinement in Secure Juvenile Correctional Facilities </v>
      </c>
      <c r="C14" s="33">
        <f>'Data Entry'!C14</f>
        <v>2</v>
      </c>
      <c r="D14" s="34">
        <f>IF(((AND(C70&gt;0,C14&gt;0))), ((C14/(C70))),0)</f>
        <v>25</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2</v>
      </c>
      <c r="Q14" s="42">
        <f>(C70*L70)-C14</f>
        <v>6</v>
      </c>
      <c r="R14" s="42">
        <f t="shared" si="5"/>
        <v>9</v>
      </c>
      <c r="S14" s="30">
        <f t="shared" si="6"/>
        <v>36</v>
      </c>
      <c r="T14" s="30">
        <f t="shared" si="7"/>
        <v>112</v>
      </c>
      <c r="U14" s="31">
        <f t="shared" si="8"/>
        <v>0.32142857142857145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6</v>
      </c>
      <c r="R15" s="42">
        <f t="shared" si="5"/>
        <v>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0.128</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0.01</v>
      </c>
      <c r="E44" s="56">
        <f>MAX(C44:D44,0)</f>
        <v>0.12</v>
      </c>
      <c r="G44" s="1" t="str">
        <f>B44</f>
        <v>per 100 referrals</v>
      </c>
      <c r="L44" s="57">
        <v>100</v>
      </c>
      <c r="M44" s="57"/>
      <c r="R44" s="49"/>
    </row>
    <row r="45" spans="2:18" ht="15" hidden="1" customHeight="1">
      <c r="B45" s="49" t="s">
        <v>89</v>
      </c>
      <c r="C45" s="49">
        <f>C11/100</f>
        <v>0.06</v>
      </c>
      <c r="D45" s="49">
        <f>E11/100</f>
        <v>0.01</v>
      </c>
      <c r="E45" s="56">
        <f>MAX(C45:D45,0)</f>
        <v>0.06</v>
      </c>
      <c r="G45" s="1" t="str">
        <f>B45</f>
        <v>per 100 youth petitioned</v>
      </c>
      <c r="L45" s="57">
        <v>100</v>
      </c>
      <c r="M45" s="57"/>
      <c r="R45" s="49"/>
    </row>
    <row r="46" spans="2:18" ht="15" hidden="1" customHeight="1">
      <c r="B46" s="49" t="s">
        <v>90</v>
      </c>
      <c r="C46" s="49">
        <f>C12/100</f>
        <v>0.08</v>
      </c>
      <c r="D46" s="49">
        <f>E12/100</f>
        <v>0.01</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0.128</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0.01</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0.01</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0.01</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0.128</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0.01</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0.01</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0.128</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0.01</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0.01</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0.128</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0.01</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0.01</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0.01</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Gladwin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2117</v>
      </c>
      <c r="D3" s="57">
        <f>'Data Entry'!C6</f>
        <v>1989</v>
      </c>
      <c r="E3" s="57">
        <f>'Data Entry'!D6</f>
        <v>31</v>
      </c>
      <c r="F3" s="57">
        <f>'Data Entry'!E6</f>
        <v>69</v>
      </c>
      <c r="G3" s="57">
        <f>'Data Entry'!F6</f>
        <v>12</v>
      </c>
      <c r="H3" s="57">
        <f>'Data Entry'!G6</f>
        <v>0</v>
      </c>
      <c r="I3" s="57">
        <f>'Data Entry'!H6</f>
        <v>16</v>
      </c>
      <c r="J3" s="57">
        <f>'Data Entry'!I6</f>
        <v>0</v>
      </c>
      <c r="K3" s="57">
        <f>'Data Entry'!J6</f>
        <v>128</v>
      </c>
    </row>
    <row r="4" spans="2:11" ht="15" customHeight="1">
      <c r="B4" s="16" t="s">
        <v>8</v>
      </c>
      <c r="C4" s="1">
        <f>IF((C$3&gt;0),(1000*('Data Entry'!B7/'Data Entry'!B$6)), 0)</f>
        <v>34.482758620689651</v>
      </c>
      <c r="D4" s="1">
        <f>IF((D$3&gt;0),(1000*('Data Entry'!C7/'Data Entry'!C$6)), 0)</f>
        <v>30.165912518853695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36.372224846480869</v>
      </c>
      <c r="D5" s="1">
        <f>IF((D$3&gt;0),(1000*('Data Entry'!C8/'Data Entry'!C$6)), 0)</f>
        <v>6.0331825037707389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7.8125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21.256495040151158</v>
      </c>
      <c r="D8" s="1">
        <f>IF((D$3&gt;0),(1000*('Data Entry'!C11/'Data Entry'!C$6)), 0)</f>
        <v>3.0165912518853695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7.8125</v>
      </c>
    </row>
    <row r="9" spans="2:11" ht="15" customHeight="1">
      <c r="B9" s="16" t="s">
        <v>13</v>
      </c>
      <c r="C9" s="1">
        <f>IF((C$3&gt;0),(1000*('Data Entry'!B12/'Data Entry'!B$6)), 0)</f>
        <v>11.809163911195087</v>
      </c>
      <c r="D9" s="1">
        <f>IF((D$3&gt;0),(1000*('Data Entry'!C12/'Data Entry'!C$6)), 0)</f>
        <v>4.0221216691804926</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7.8125</v>
      </c>
    </row>
    <row r="10" spans="2:11" ht="15" customHeight="1">
      <c r="B10" s="16" t="s">
        <v>14</v>
      </c>
      <c r="C10" s="1">
        <f>IF((C$3&gt;0),(1000*('Data Entry'!B13/'Data Entry'!B$6)), 0)</f>
        <v>2.8341993386868212</v>
      </c>
      <c r="D10" s="1">
        <f>IF((D$3&gt;0),(1000*('Data Entry'!C13/'Data Entry'!C$6)), 0)</f>
        <v>2.0110608345902463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2.8341993386868212</v>
      </c>
      <c r="D11" s="1">
        <f>IF((D$3&gt;0),(1000*('Data Entry'!C14/'Data Entry'!C$6)), 0)</f>
        <v>1.0055304172951232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Gladwin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1.294921875</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2.58984375</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1.9423828125</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Gladwin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1989</v>
      </c>
      <c r="D7" s="104">
        <f>'Data Entry'!D6</f>
        <v>31</v>
      </c>
      <c r="E7" s="105"/>
      <c r="F7" s="106">
        <f>'Data Entry'!E6</f>
        <v>69</v>
      </c>
      <c r="G7" s="105"/>
      <c r="H7" s="106">
        <f>'Data Entry'!F6</f>
        <v>12</v>
      </c>
      <c r="I7" s="105"/>
      <c r="J7" s="106">
        <f>'Data Entry'!G6</f>
        <v>0</v>
      </c>
      <c r="K7" s="105"/>
      <c r="L7" s="106">
        <f>'Data Entry'!H6</f>
        <v>16</v>
      </c>
      <c r="M7" s="105"/>
      <c r="N7" s="106">
        <f>'Data Entry'!I6</f>
        <v>0</v>
      </c>
      <c r="O7" s="105"/>
      <c r="P7" s="106">
        <f>'Data Entry'!J6</f>
        <v>128</v>
      </c>
      <c r="Q7" s="107"/>
    </row>
    <row r="8" spans="2:26" s="1" customFormat="1" ht="15" customHeight="1">
      <c r="B8" s="142" t="s">
        <v>8</v>
      </c>
      <c r="C8" s="103">
        <f>'Data Entry'!C7</f>
        <v>60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20</v>
      </c>
    </row>
    <row r="9" spans="2:26" s="1" customFormat="1" ht="15" customHeight="1">
      <c r="B9" s="142" t="s">
        <v>134</v>
      </c>
      <c r="C9" s="103">
        <f>'Data Entry'!C8</f>
        <v>12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1</v>
      </c>
      <c r="Q9" s="111" t="str">
        <f>'All Minorities'!G8</f>
        <v>**</v>
      </c>
      <c r="R9"/>
      <c r="T9" s="1">
        <f>'Black or African-American'!L8</f>
        <v>40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1</v>
      </c>
      <c r="Q12" s="115"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4</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Gladwin</v>
      </c>
    </row>
    <row r="6" spans="1:12">
      <c r="A6" s="135" t="str">
        <f>CONCATENATE("Percentage of Minorities at Stages of the Juvenile Justice System, ", A5, " 2022")</f>
        <v>Percentage of Minorities at Stages of the Juvenile Justice System, County: Gladwin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15.539062499999998</v>
      </c>
    </row>
    <row r="8" spans="1:12" ht="25.5" customHeight="1">
      <c r="A8" s="151" t="str">
        <f>CONCATENATE("Confinement, total N=", 'Data Entry'!B14)</f>
        <v>Confinement, total N=6</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0.33333333333333331</v>
      </c>
      <c r="K8" s="96" t="str">
        <f>A8</f>
        <v>Confinement, total N=6</v>
      </c>
      <c r="L8">
        <f>I14/(SUM(B14:G14))</f>
        <v>15.539062499999998</v>
      </c>
    </row>
    <row r="9" spans="1:12">
      <c r="A9" s="128" t="str">
        <f>CONCATENATE("Delinquent Findings, total N=", 'Data Entry'!B12)</f>
        <v>Delinquent Findings, total N=25</v>
      </c>
      <c r="B9" s="150">
        <f>'Data Entry'!D12/'Data Entry'!B12</f>
        <v>0</v>
      </c>
      <c r="C9" s="150">
        <f>'Data Entry'!E12/'Data Entry'!B12</f>
        <v>0</v>
      </c>
      <c r="D9" s="150">
        <f>'Data Entry'!F12/'Data Entry'!B12</f>
        <v>0</v>
      </c>
      <c r="E9" s="150">
        <f>'Data Entry'!G12/'Data Entry'!B12</f>
        <v>0</v>
      </c>
      <c r="F9" s="150">
        <f>'Data Entry'!H12/'Data Entry'!B12</f>
        <v>0</v>
      </c>
      <c r="G9" s="150">
        <f>'Data Entry'!I12/'Data Entry'!B12</f>
        <v>0.04</v>
      </c>
      <c r="H9" s="150">
        <f>SUM(D9:G9)/'Data Entry'!B12</f>
        <v>1.6000000000000001E-3</v>
      </c>
      <c r="I9" s="150">
        <f>'Data Entry'!C12/'Data Entry'!B12</f>
        <v>0.32</v>
      </c>
      <c r="K9" s="96" t="str">
        <f t="shared" si="0"/>
        <v>Delinquent Findings, total N=25</v>
      </c>
      <c r="L9">
        <f>I14/(SUM(B14:G14))</f>
        <v>15.539062499999998</v>
      </c>
    </row>
    <row r="10" spans="1:12">
      <c r="A10" s="128" t="str">
        <f>CONCATENATE("Petitions, total N=", 'Data Entry'!B11)</f>
        <v>Petitions, total N=45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2.2222222222222223E-2</v>
      </c>
      <c r="H10" s="150">
        <f>SUM(D10:G10)/'Data Entry'!B11</f>
        <v>4.9382716049382717E-4</v>
      </c>
      <c r="I10" s="150">
        <f>'Data Entry'!C11/'Data Entry'!B11</f>
        <v>0.13333333333333333</v>
      </c>
      <c r="K10" s="96" t="str">
        <f t="shared" si="0"/>
        <v>Petitions, total N=45</v>
      </c>
      <c r="L10">
        <f>I14/(SUM(B14:G14))</f>
        <v>15.539062499999998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15.539062499999998</v>
      </c>
    </row>
    <row r="12" spans="1:12">
      <c r="A12" s="128" t="str">
        <f>CONCATENATE("Referrals, total N=", 'Data Entry'!B8)</f>
        <v>Referrals, total N=77</v>
      </c>
      <c r="B12" s="150">
        <f>'Data Entry'!D8/'Data Entry'!B8</f>
        <v>0</v>
      </c>
      <c r="C12" s="150">
        <f>'Data Entry'!E8/'Data Entry'!B8</f>
        <v>0</v>
      </c>
      <c r="D12" s="150">
        <f>'Data Entry'!F8/'Data Entry'!B8</f>
        <v>0</v>
      </c>
      <c r="E12" s="150">
        <f>'Data Entry'!G8/'Data Entry'!B8</f>
        <v>0</v>
      </c>
      <c r="F12" s="150">
        <f>'Data Entry'!H8/'Data Entry'!B8</f>
        <v>0</v>
      </c>
      <c r="G12" s="150">
        <f>'Data Entry'!I8/'Data Entry'!B8</f>
        <v>1.2987012987012988E-2</v>
      </c>
      <c r="H12" s="150">
        <f>SUM(D12:G12)/'Data Entry'!B8</f>
        <v>1.6866250632484401E-4</v>
      </c>
      <c r="I12" s="150">
        <f>'Data Entry'!C8/'Data Entry'!B8</f>
        <v>0.15584415584415584</v>
      </c>
      <c r="K12" s="96" t="str">
        <f t="shared" si="0"/>
        <v>Referrals, total N=77</v>
      </c>
      <c r="L12">
        <f>I14/(SUM(B14:G14))</f>
        <v>15.539062499999998</v>
      </c>
    </row>
    <row r="13" spans="1:12">
      <c r="A13" s="128" t="str">
        <f>CONCATENATE("Arrests, total N=", 'Data Entry'!B7)</f>
        <v>Arrests, total N=73</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0.82191780821917804</v>
      </c>
      <c r="K13" s="96" t="str">
        <f t="shared" si="0"/>
        <v>Arrests, total N=73</v>
      </c>
      <c r="L13">
        <f>I14/(SUM(B14:G14))</f>
        <v>15.539062499999998</v>
      </c>
    </row>
    <row r="14" spans="1:12">
      <c r="A14" s="128" t="str">
        <f>CONCATENATE("Population, total N=", 'Data Entry'!B6)</f>
        <v>Population, total N=2117</v>
      </c>
      <c r="B14" s="150">
        <f>'Data Entry'!D6/'Data Entry'!B6</f>
        <v>1.4643363249881908E-2</v>
      </c>
      <c r="C14" s="150">
        <f>'Data Entry'!E6/'Data Entry'!B6</f>
        <v>3.2593292394898443E-2</v>
      </c>
      <c r="D14" s="150">
        <f>'Data Entry'!F6/'Data Entry'!B6</f>
        <v>5.6683986773736423E-3</v>
      </c>
      <c r="E14" s="150">
        <f>'Data Entry'!G6/'Data Entry'!B6</f>
        <v>0</v>
      </c>
      <c r="F14" s="150">
        <f>'Data Entry'!H6/'Data Entry'!B6</f>
        <v>7.5578649031648563E-3</v>
      </c>
      <c r="G14" s="150">
        <f>'Data Entry'!I6/'Data Entry'!B6</f>
        <v>0</v>
      </c>
      <c r="H14" s="150">
        <f>SUM(D14:G14)/'Data Entry'!B6</f>
        <v>6.2476445822099662E-6</v>
      </c>
      <c r="I14" s="150">
        <f>'Data Entry'!C6/'Data Entry'!B6</f>
        <v>0.93953708077468112</v>
      </c>
      <c r="K14" s="96" t="str">
        <f t="shared" si="0"/>
        <v>Population, total N=2117</v>
      </c>
      <c r="L14">
        <f>I14/(SUM(B14:G14))</f>
        <v>15.539062499999998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Gladwin</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1989</v>
      </c>
      <c r="D7" s="104">
        <f>'Data Entry'!D6</f>
        <v>31</v>
      </c>
      <c r="E7" s="105"/>
      <c r="F7" s="106">
        <f>'Data Entry'!E6</f>
        <v>69</v>
      </c>
      <c r="G7" s="105"/>
      <c r="H7" s="106">
        <f>'Data Entry'!F6</f>
        <v>12</v>
      </c>
      <c r="I7" s="105"/>
      <c r="J7" s="106">
        <f>'Data Entry'!J6</f>
        <v>128</v>
      </c>
      <c r="K7" s="107"/>
    </row>
    <row r="8" spans="2:30" s="1" customFormat="1" ht="15" customHeight="1">
      <c r="B8" s="121" t="s">
        <v>8</v>
      </c>
      <c r="C8" s="103">
        <f>'Data Entry'!C7</f>
        <v>60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20</v>
      </c>
    </row>
    <row r="9" spans="2:30" s="1" customFormat="1" ht="15" customHeight="1">
      <c r="B9" s="121" t="s">
        <v>134</v>
      </c>
      <c r="C9" s="103">
        <f>'Data Entry'!C8</f>
        <v>12</v>
      </c>
      <c r="D9" s="108">
        <f>'Data Entry'!D8</f>
        <v>0</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6</v>
      </c>
      <c r="D12" s="112">
        <f>'Data Entry'!D11</f>
        <v>0</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4</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Entry'!D6</f>
        <v>31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31</v>
      </c>
      <c r="P7" s="42">
        <f t="shared" ref="P7:P15" si="2">C7</f>
        <v>60</v>
      </c>
      <c r="Q7" s="42">
        <f>C6-C7</f>
        <v>1929</v>
      </c>
      <c r="R7" s="42">
        <f t="shared" ref="R7:R15" si="3">SUM(N7:Q7)</f>
        <v>2020</v>
      </c>
      <c r="S7" s="30">
        <f t="shared" ref="S7:S15" si="4">R7*((((N7*Q7)-(O7*P7))^2))</f>
        <v>6988392000</v>
      </c>
      <c r="T7" s="30">
        <f t="shared" ref="T7:T15" si="5">(N7+O7)*(P7+Q7)*(N7+P7)*(O7+Q7)</f>
        <v>7251098400</v>
      </c>
      <c r="U7" s="31">
        <f t="shared" ref="U7:U15" si="6">IF((S7&gt;0),S7/T7,"- -")</f>
        <v>0.96377012343398893</v>
      </c>
    </row>
    <row r="8" spans="2:21" ht="18" customHeight="1">
      <c r="B8" s="32" t="str">
        <f>'Data Entry'!A8</f>
        <v>3. Refer to Juvenile Court</v>
      </c>
      <c r="C8" s="33">
        <f>'Data Entry'!C8</f>
        <v>12</v>
      </c>
      <c r="D8" s="34">
        <f>IF((AND(C67&gt;0,C8&gt;0)),(C8/C67),0)</f>
        <v>20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12</v>
      </c>
      <c r="Q8" s="42">
        <f>(C$67*L67)-C8</f>
        <v>48</v>
      </c>
      <c r="R8" s="42">
        <f t="shared" si="3"/>
        <v>60.05</v>
      </c>
      <c r="S8" s="30">
        <f t="shared" si="4"/>
        <v>21.618000000000006</v>
      </c>
      <c r="T8" s="30">
        <f t="shared" si="5"/>
        <v>1729.8</v>
      </c>
      <c r="U8" s="31">
        <f t="shared" si="6"/>
        <v>1.2497398543184187E-2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12</v>
      </c>
      <c r="R9" s="42">
        <f t="shared" si="3"/>
        <v>12</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12</v>
      </c>
      <c r="R10" s="42">
        <f t="shared" si="3"/>
        <v>12</v>
      </c>
      <c r="S10" s="30">
        <f t="shared" si="4"/>
        <v>0</v>
      </c>
      <c r="T10" s="30">
        <f t="shared" si="5"/>
        <v>0</v>
      </c>
      <c r="U10" s="31" t="str">
        <f t="shared" si="6"/>
        <v>- -</v>
      </c>
    </row>
    <row r="11" spans="2:21" ht="18" customHeight="1">
      <c r="B11" s="32" t="str">
        <f>'Data Entry'!A11</f>
        <v>6. Cases Petitioned (Charge Filed)</v>
      </c>
      <c r="C11" s="33">
        <f>'Data Entry'!C11</f>
        <v>6</v>
      </c>
      <c r="D11" s="34">
        <f>IF(((AND(C68&gt;0,C11&gt;0))),(C11/(C68)),0)</f>
        <v>50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6</v>
      </c>
      <c r="Q11" s="42">
        <f>(C$68*L68)-C11</f>
        <v>6</v>
      </c>
      <c r="R11" s="42">
        <f t="shared" si="3"/>
        <v>12</v>
      </c>
      <c r="S11" s="30">
        <f t="shared" si="4"/>
        <v>0</v>
      </c>
      <c r="T11" s="30">
        <f t="shared" si="5"/>
        <v>0</v>
      </c>
      <c r="U11" s="31" t="str">
        <f t="shared" si="6"/>
        <v>- -</v>
      </c>
    </row>
    <row r="12" spans="2:21" ht="18" customHeight="1">
      <c r="B12" s="32" t="str">
        <f>'Data Entry'!A12</f>
        <v>7. Cases Resulting in Delinquent Findings</v>
      </c>
      <c r="C12" s="33">
        <f>'Data Entry'!C12</f>
        <v>8</v>
      </c>
      <c r="D12" s="34">
        <f>IF(((AND(C69&gt;0,C12&gt;0))),(C12/(C69)),0)</f>
        <v>133.33333333333334</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8</v>
      </c>
      <c r="Q12" s="42">
        <f>(C69*L69)-C12</f>
        <v>-2</v>
      </c>
      <c r="R12" s="42">
        <f t="shared" si="3"/>
        <v>6</v>
      </c>
      <c r="S12" s="30">
        <f t="shared" si="4"/>
        <v>0</v>
      </c>
      <c r="T12" s="30">
        <f t="shared" si="5"/>
        <v>0</v>
      </c>
      <c r="U12" s="31" t="str">
        <f t="shared" si="6"/>
        <v>- -</v>
      </c>
    </row>
    <row r="13" spans="2:21" ht="18" customHeight="1">
      <c r="B13" s="32" t="str">
        <f>'Data Entry'!A13</f>
        <v>8. Cases Resulting in Probation Placement</v>
      </c>
      <c r="C13" s="33">
        <f>'Data Entry'!C13</f>
        <v>4</v>
      </c>
      <c r="D13" s="34">
        <f>IF(((AND(C70&gt;0,C13&gt;0))),(C13/(C70)),0)</f>
        <v>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4</v>
      </c>
      <c r="Q13" s="42">
        <f>(C70*L70)-C13</f>
        <v>4</v>
      </c>
      <c r="R13" s="42">
        <f t="shared" si="3"/>
        <v>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25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6</v>
      </c>
      <c r="R14" s="42">
        <f t="shared" si="3"/>
        <v>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6</v>
      </c>
      <c r="R15" s="42">
        <f t="shared" si="3"/>
        <v>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3.1E-2</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3.1E-2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3.1E-2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3.1E-2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3.1E-2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Entry'!F6</f>
        <v>12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v>
      </c>
      <c r="P7" s="42">
        <f t="shared" ref="P7:P15" si="4">C7</f>
        <v>60</v>
      </c>
      <c r="Q7" s="42">
        <f>C6-C7</f>
        <v>1929</v>
      </c>
      <c r="R7" s="42">
        <f t="shared" ref="R7:R15" si="5">SUM(N7:Q7)</f>
        <v>2001</v>
      </c>
      <c r="S7" s="30">
        <f t="shared" ref="S7:S15" si="6">R7*((((N7*Q7)-(O7*P7))^2))</f>
        <v>1037318400</v>
      </c>
      <c r="T7" s="30">
        <f t="shared" ref="T7:T15" si="7">(N7+O7)*(P7+Q7)*(N7+P7)*(O7+Q7)</f>
        <v>2779667280</v>
      </c>
      <c r="U7" s="31">
        <f t="shared" ref="U7:U15" si="8">IF((S7&gt;0),S7/T7,"- -")</f>
        <v>0.37318077867218696</v>
      </c>
    </row>
    <row r="8" spans="2:21" ht="18" customHeight="1">
      <c r="B8" s="32" t="str">
        <f>'Data Entry'!A8</f>
        <v>3. Refer to Juvenile Court</v>
      </c>
      <c r="C8" s="33">
        <f>'Data Entry'!C8</f>
        <v>12</v>
      </c>
      <c r="D8" s="34">
        <f>IF((AND(C67&gt;0,C8&gt;0)),(C8/C67),0)</f>
        <v>20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48</v>
      </c>
      <c r="R8" s="42">
        <f t="shared" si="5"/>
        <v>60.05</v>
      </c>
      <c r="S8" s="30">
        <f t="shared" si="6"/>
        <v>21.618000000000006</v>
      </c>
      <c r="T8" s="30">
        <f t="shared" si="7"/>
        <v>1729.8</v>
      </c>
      <c r="U8" s="31">
        <f t="shared" si="8"/>
        <v>1.2497398543184187E-2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6</v>
      </c>
      <c r="R11" s="42">
        <f t="shared" si="5"/>
        <v>12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133.33333333333334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-2</v>
      </c>
      <c r="R12" s="42">
        <f t="shared" si="5"/>
        <v>6</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1.2E-2</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1.2E-2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1.2E-2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1.2E-2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1.2E-2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Entry'!E6</f>
        <v>69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69</v>
      </c>
      <c r="P7" s="42">
        <f t="shared" ref="P7:P15" si="4">C7</f>
        <v>60</v>
      </c>
      <c r="Q7" s="42">
        <f>C6-C7</f>
        <v>1929</v>
      </c>
      <c r="R7" s="42">
        <f t="shared" ref="R7:R15" si="5">SUM(N7:Q7)</f>
        <v>2058</v>
      </c>
      <c r="S7" s="30">
        <f t="shared" ref="S7:S15" si="6">R7*((((N7*Q7)-(O7*P7))^2))</f>
        <v>35273296800</v>
      </c>
      <c r="T7" s="30">
        <f t="shared" ref="T7:T15" si="7">(N7+O7)*(P7+Q7)*(N7+P7)*(O7+Q7)</f>
        <v>16452451080</v>
      </c>
      <c r="U7" s="31">
        <f t="shared" ref="U7:U15" si="8">IF((S7&gt;0),S7/T7,"- -")</f>
        <v>2.1439539086597912</v>
      </c>
    </row>
    <row r="8" spans="2:21" ht="18" customHeight="1">
      <c r="B8" s="32" t="str">
        <f>'Data Entry'!A8</f>
        <v>3. Refer to Juvenile Court</v>
      </c>
      <c r="C8" s="33">
        <f>'Data Entry'!C8</f>
        <v>12</v>
      </c>
      <c r="D8" s="34">
        <f>IF((AND(C67&gt;0,C8&gt;0)),(C8/C67),0)</f>
        <v>20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48</v>
      </c>
      <c r="R8" s="42">
        <f t="shared" si="5"/>
        <v>60.05</v>
      </c>
      <c r="S8" s="30">
        <f t="shared" si="6"/>
        <v>21.618000000000006</v>
      </c>
      <c r="T8" s="30">
        <f t="shared" si="7"/>
        <v>1729.8</v>
      </c>
      <c r="U8" s="31">
        <f t="shared" si="8"/>
        <v>1.2497398543184187E-2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6</v>
      </c>
      <c r="R11" s="42">
        <f t="shared" si="5"/>
        <v>12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133.33333333333334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-2</v>
      </c>
      <c r="R12" s="42">
        <f t="shared" si="5"/>
        <v>6</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6.9000000000000006E-2</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6.9000000000000006E-2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6.9000000000000006E-2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6.9000000000000006E-2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6.9000000000000006E-2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60</v>
      </c>
      <c r="Q7" s="42">
        <f>C6-C7</f>
        <v>1929</v>
      </c>
      <c r="R7" s="42">
        <f t="shared" ref="R7:R15" si="5">SUM(N7:Q7)</f>
        <v>1989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v>
      </c>
      <c r="D8" s="34">
        <f>IF((AND(C67&gt;0,C8&gt;0)),(C8/C67),0)</f>
        <v>20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48</v>
      </c>
      <c r="R8" s="42">
        <f t="shared" si="5"/>
        <v>60.05</v>
      </c>
      <c r="S8" s="30">
        <f t="shared" si="6"/>
        <v>21.618000000000006</v>
      </c>
      <c r="T8" s="30">
        <f t="shared" si="7"/>
        <v>1729.8</v>
      </c>
      <c r="U8" s="31">
        <f t="shared" si="8"/>
        <v>1.2497398543184187E-2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6</v>
      </c>
      <c r="R11" s="42">
        <f t="shared" si="5"/>
        <v>12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133.33333333333334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-2</v>
      </c>
      <c r="R12" s="42">
        <f t="shared" si="5"/>
        <v>6</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0</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0</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0</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0</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0</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1989</v>
      </c>
      <c r="D6" s="34"/>
      <c r="E6" s="33">
        <f>'Data Entry'!H6</f>
        <v>16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60</v>
      </c>
      <c r="D7" s="34">
        <f>IF((AND(C66&gt;0,C7&gt;0)),(C7/C66),0)</f>
        <v>30.165912518853695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16</v>
      </c>
      <c r="P7" s="42">
        <f t="shared" ref="P7:P15" si="4">C7</f>
        <v>60</v>
      </c>
      <c r="Q7" s="42">
        <f>C6-C7</f>
        <v>1929</v>
      </c>
      <c r="R7" s="42">
        <f t="shared" ref="R7:R15" si="5">SUM(N7:Q7)</f>
        <v>2005</v>
      </c>
      <c r="S7" s="30">
        <f t="shared" ref="S7:S15" si="6">R7*((((N7*Q7)-(O7*P7))^2))</f>
        <v>1847808000</v>
      </c>
      <c r="T7" s="30">
        <f t="shared" ref="T7:T15" si="7">(N7+O7)*(P7+Q7)*(N7+P7)*(O7+Q7)</f>
        <v>3713860800</v>
      </c>
      <c r="U7" s="31">
        <f t="shared" ref="U7:U15" si="8">IF((S7&gt;0),S7/T7,"- -")</f>
        <v>0.4975436882287026</v>
      </c>
    </row>
    <row r="8" spans="2:21" ht="18" customHeight="1">
      <c r="B8" s="32" t="str">
        <f>'Data Entry'!A8</f>
        <v>3. Refer to Juvenile Court</v>
      </c>
      <c r="C8" s="33">
        <f>'Data Entry'!C8</f>
        <v>12</v>
      </c>
      <c r="D8" s="34">
        <f>IF((AND(C67&gt;0,C8&gt;0)),(C8/C67),0)</f>
        <v>20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48</v>
      </c>
      <c r="R8" s="42">
        <f t="shared" si="5"/>
        <v>60.05</v>
      </c>
      <c r="S8" s="30">
        <f t="shared" si="6"/>
        <v>21.618000000000006</v>
      </c>
      <c r="T8" s="30">
        <f t="shared" si="7"/>
        <v>1729.8</v>
      </c>
      <c r="U8" s="31">
        <f t="shared" si="8"/>
        <v>1.2497398543184187E-2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6</v>
      </c>
      <c r="D11" s="34">
        <f>IF(((AND(C68&gt;0,C11&gt;0))),(C11/(C68)),0)</f>
        <v>50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6</v>
      </c>
      <c r="R11" s="42">
        <f t="shared" si="5"/>
        <v>12</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133.33333333333334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-2</v>
      </c>
      <c r="R12" s="42">
        <f t="shared" si="5"/>
        <v>6</v>
      </c>
      <c r="S12" s="30">
        <f t="shared" si="6"/>
        <v>0</v>
      </c>
      <c r="T12" s="30">
        <f t="shared" si="7"/>
        <v>0</v>
      </c>
      <c r="U12" s="31" t="str">
        <f t="shared" si="8"/>
        <v>- -</v>
      </c>
    </row>
    <row r="13" spans="2:21" ht="18" customHeight="1">
      <c r="B13" s="32" t="str">
        <f>'Data Entry'!A13</f>
        <v>8. Cases Resulting in Probation Placement</v>
      </c>
      <c r="C13" s="33">
        <f>'Data Entry'!C13</f>
        <v>4</v>
      </c>
      <c r="D13" s="34">
        <f>IF(((AND(C70&gt;0,C13&gt;0))),(C13/(C70)),0)</f>
        <v>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4</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25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6</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1.9890000000000001</v>
      </c>
      <c r="D42" s="56">
        <f>E6/1000</f>
        <v>1.6E-2</v>
      </c>
      <c r="E42" s="56">
        <f>MAX(C42:D42)</f>
        <v>1.9890000000000001</v>
      </c>
      <c r="G42" s="1" t="str">
        <f>B42</f>
        <v>per 1000 youth</v>
      </c>
      <c r="L42" s="57">
        <v>1000</v>
      </c>
      <c r="M42" s="57"/>
      <c r="R42" s="49"/>
    </row>
    <row r="43" spans="2:18" ht="15" hidden="1" customHeight="1">
      <c r="B43" s="49" t="s">
        <v>87</v>
      </c>
      <c r="C43" s="56">
        <f>C7/100</f>
        <v>0.6</v>
      </c>
      <c r="D43" s="56">
        <f>E7/100</f>
        <v>0</v>
      </c>
      <c r="E43" s="56">
        <f>MAX(C43:D43,0)</f>
        <v>0.6</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0.06</v>
      </c>
      <c r="D45" s="49">
        <f>E11/100</f>
        <v>0</v>
      </c>
      <c r="E45" s="56">
        <f>MAX(C45:D45,0)</f>
        <v>0.06</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1.9890000000000001</v>
      </c>
      <c r="D48" s="56">
        <f>D42</f>
        <v>1.6E-2</v>
      </c>
      <c r="E48" s="56">
        <f>MAX(C48:D48)</f>
        <v>1.9890000000000001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v>
      </c>
      <c r="D49" s="49">
        <f t="shared" si="9"/>
        <v>0</v>
      </c>
      <c r="E49" s="49">
        <f>MAX(C49:D49)</f>
        <v>0.6</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1.9890000000000001</v>
      </c>
      <c r="D54" s="56">
        <f>D48</f>
        <v>1.6E-2</v>
      </c>
      <c r="E54" s="56">
        <f>MAX(C54:D54)</f>
        <v>1.9890000000000001</v>
      </c>
      <c r="G54" s="1" t="str">
        <f>G48</f>
        <v>per 1000 youth</v>
      </c>
      <c r="L54" s="58">
        <f>L48</f>
        <v>1000</v>
      </c>
      <c r="M54" s="58"/>
    </row>
    <row r="55" spans="2:18" ht="15" hidden="1" customHeight="1">
      <c r="B55" s="49" t="str">
        <f t="shared" ref="B55:D56" si="10">IF(($E49&gt;0),B49,B48)</f>
        <v>per 100 arrests</v>
      </c>
      <c r="C55" s="49">
        <f t="shared" si="10"/>
        <v>0.6</v>
      </c>
      <c r="D55" s="49">
        <f t="shared" si="10"/>
        <v>0</v>
      </c>
      <c r="E55" s="49">
        <f>MAX(C55:D55)</f>
        <v>0.6</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1.9890000000000001</v>
      </c>
      <c r="D60" s="56">
        <f>D54</f>
        <v>1.6E-2</v>
      </c>
      <c r="E60" s="56">
        <f>MAX(C60:D60)</f>
        <v>1.9890000000000001</v>
      </c>
      <c r="G60" s="1" t="str">
        <f>G54</f>
        <v>per 1000 youth</v>
      </c>
      <c r="L60" s="58">
        <f>L54</f>
        <v>1000</v>
      </c>
      <c r="M60" s="58"/>
    </row>
    <row r="61" spans="2:18" ht="15" hidden="1" customHeight="1">
      <c r="B61" s="49" t="str">
        <f t="shared" ref="B61:D62" si="11">IF(($E55&gt;0),B55,B54)</f>
        <v>per 100 arrests</v>
      </c>
      <c r="C61" s="49">
        <f t="shared" si="11"/>
        <v>0.6</v>
      </c>
      <c r="D61" s="49">
        <f t="shared" si="11"/>
        <v>0</v>
      </c>
      <c r="E61" s="49">
        <f>MAX(C61:D61)</f>
        <v>0.6</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1.9890000000000001</v>
      </c>
      <c r="D66" s="56">
        <f>D60</f>
        <v>1.6E-2</v>
      </c>
      <c r="E66" s="56">
        <f>MAX(C66:D66)</f>
        <v>1.9890000000000001</v>
      </c>
      <c r="G66" s="1" t="str">
        <f>G60</f>
        <v>per 1000 youth</v>
      </c>
      <c r="L66" s="58">
        <f>L60</f>
        <v>1000</v>
      </c>
      <c r="M66" s="58">
        <f>IF((B66=G66),1,2)</f>
        <v>1</v>
      </c>
    </row>
    <row r="67" spans="2:13" ht="15" hidden="1" customHeight="1">
      <c r="B67" s="49" t="str">
        <f t="shared" ref="B67:D68" si="12">IF(($E61&gt;0),B61,B60)</f>
        <v>per 100 arrests</v>
      </c>
      <c r="C67" s="49">
        <f t="shared" si="12"/>
        <v>0.6</v>
      </c>
      <c r="D67" s="49">
        <f t="shared" si="12"/>
        <v>0</v>
      </c>
      <c r="E67" s="49">
        <f>MAX(C67:D67)</f>
        <v>0.6</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U47JMPN4QEAR-1806752177-30454</_dlc_DocId>
    <_dlc_DocIdUrl xmlns="ac3811b5-0f3e-49e2-ba69-f2ffa0c782af">
      <Url>https://michiganphi.sharepoint.com/sites/CMDMC/_layouts/15/DocIdRedir.aspx?ID=U47JMPN4QEAR-1806752177-30454</Url>
      <Description>U47JMPN4QEAR-1806752177-30454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070EC1-AE80-415E-A3AA-A229032F5276}"/>
</file>

<file path=customXml/itemProps2.xml><?xml version="1.0" encoding="utf-8"?>
<ds:datastoreItem xmlns:ds="http://schemas.openxmlformats.org/officeDocument/2006/customXml" ds:itemID="{E2F58CA8-FCE3-417B-BFC0-427EC7A32615}">
  <ds:schemaRefs>
    <ds:schemaRef ds:uri="http://schemas.microsoft.com/sharepoint/v3/contenttype/forms"/>
  </ds:schemaRefs>
</ds:datastoreItem>
</file>

<file path=customXml/itemProps3.xml><?xml version="1.0" encoding="utf-8"?>
<ds:datastoreItem xmlns:ds="http://schemas.openxmlformats.org/officeDocument/2006/customXml" ds:itemID="{33237B7E-40C4-4C93-9910-34C86A5F321D}">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A95DCDFA-0831-4DAC-B552-A1550A4C6C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5742a4fa-d2a8-42b7-8e58-877ab300e670</vt:lpwstr>
  </property>
</Properties>
</file>