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0B3A9B2E-01F9-4440-AE15-99BB6B8FAE8C}" xr6:coauthVersionLast="47" xr6:coauthVersionMax="47" xr10:uidLastSave="{F6CB5379-5809-4E0A-84F8-605ED2153728}"/>
  <bookViews>
    <workbookView xWindow="-120" yWindow="-120" windowWidth="29040" windowHeight="15720"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2"/>
  <c r="M66" i="2"/>
  <c r="F27" i="5"/>
  <c r="M66" i="5"/>
  <c r="M66" i="4"/>
  <c r="F27" i="4"/>
  <c r="M66" i="8"/>
  <c r="F27" i="8"/>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43" i="6"/>
  <c r="D16" i="13"/>
  <c r="C15" i="2"/>
  <c r="P15" i="2" s="1"/>
  <c r="C15" i="3"/>
  <c r="P15" i="3" s="1"/>
  <c r="C15" i="4"/>
  <c r="P15" i="4" s="1"/>
  <c r="C15" i="6"/>
  <c r="P15" i="6" s="1"/>
  <c r="C15" i="5"/>
  <c r="P15" i="5" s="1"/>
  <c r="C15" i="7"/>
  <c r="P15" i="7" s="1"/>
  <c r="C15" i="8"/>
  <c r="P15" i="8" s="1"/>
  <c r="N12" i="5"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D52" i="3" s="1"/>
  <c r="E43" i="7"/>
  <c r="C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B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52" i="3" l="1"/>
  <c r="D50" i="5"/>
  <c r="E50" i="5" s="1"/>
  <c r="L49" i="7"/>
  <c r="B49" i="7"/>
  <c r="D49"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L51" i="2"/>
  <c r="L56" i="5"/>
  <c r="E49"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E58" i="8" l="1"/>
  <c r="L64" i="8" s="1"/>
  <c r="L64" i="3"/>
  <c r="B56" i="8"/>
  <c r="D64" i="5"/>
  <c r="E64" i="5" s="1"/>
  <c r="C57" i="8"/>
  <c r="L56"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D64" i="8"/>
  <c r="C64" i="8"/>
  <c r="I7" i="9"/>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70" i="6" l="1"/>
  <c r="F13" i="6" s="1"/>
  <c r="B70" i="3"/>
  <c r="M70" i="3" s="1"/>
  <c r="D63" i="8"/>
  <c r="D70" i="8" s="1"/>
  <c r="F13" i="8" s="1"/>
  <c r="E63" i="3"/>
  <c r="C69" i="3" s="1"/>
  <c r="D12" i="3" s="1"/>
  <c r="L69" i="7"/>
  <c r="C69" i="7"/>
  <c r="D12" i="7" s="1"/>
  <c r="C63" i="8"/>
  <c r="C70" i="8" s="1"/>
  <c r="L63" i="8"/>
  <c r="L70"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4" i="6" l="1"/>
  <c r="F14" i="3"/>
  <c r="F14" i="6"/>
  <c r="E70" i="6"/>
  <c r="D13" i="3"/>
  <c r="B69" i="6"/>
  <c r="M69" i="6" s="1"/>
  <c r="E63" i="8"/>
  <c r="D69" i="8" s="1"/>
  <c r="F12" i="8" s="1"/>
  <c r="B69" i="3"/>
  <c r="M69" i="3" s="1"/>
  <c r="D15" i="3"/>
  <c r="L69" i="3"/>
  <c r="Q12" i="3" s="1"/>
  <c r="Q13" i="8"/>
  <c r="D69" i="3"/>
  <c r="E69" i="3" s="1"/>
  <c r="F34" i="3"/>
  <c r="D13" i="6"/>
  <c r="E69" i="7"/>
  <c r="Q15" i="7"/>
  <c r="D15" i="7"/>
  <c r="E70" i="3"/>
  <c r="O13" i="6"/>
  <c r="O13" i="3"/>
  <c r="Q12" i="7"/>
  <c r="C69" i="6"/>
  <c r="D12" i="6" s="1"/>
  <c r="Q14" i="3"/>
  <c r="F12" i="7"/>
  <c r="O12" i="7"/>
  <c r="D14" i="6"/>
  <c r="O15" i="7"/>
  <c r="Q13" i="3"/>
  <c r="Q13" i="6"/>
  <c r="Q14" i="6"/>
  <c r="T14" i="6" s="1"/>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5" i="8" l="1"/>
  <c r="B69" i="8"/>
  <c r="M69" i="8" s="1"/>
  <c r="F32" i="6"/>
  <c r="F35" i="3"/>
  <c r="F35" i="6"/>
  <c r="R14" i="3"/>
  <c r="S14" i="3" s="1"/>
  <c r="U14" i="3" s="1"/>
  <c r="J14" i="3" s="1"/>
  <c r="M14" i="3" s="1"/>
  <c r="G14" i="3" s="1"/>
  <c r="I15" i="16" s="1"/>
  <c r="F32" i="3"/>
  <c r="K13" i="3"/>
  <c r="T12" i="7"/>
  <c r="C69" i="8"/>
  <c r="D15" i="8" s="1"/>
  <c r="D15" i="6"/>
  <c r="L69" i="8"/>
  <c r="O15" i="8" s="1"/>
  <c r="K12" i="7"/>
  <c r="Q15" i="3"/>
  <c r="K14" i="6"/>
  <c r="U9" i="4"/>
  <c r="J9" i="4" s="1"/>
  <c r="M9" i="4" s="1"/>
  <c r="G9" i="4" s="1"/>
  <c r="G10" i="16" s="1"/>
  <c r="U14" i="4"/>
  <c r="J14" i="4" s="1"/>
  <c r="N30" i="4" s="1"/>
  <c r="R13" i="8"/>
  <c r="S13" i="8" s="1"/>
  <c r="R14" i="6"/>
  <c r="S14" i="6" s="1"/>
  <c r="U14" i="6" s="1"/>
  <c r="J14" i="6" s="1"/>
  <c r="M14" i="6" s="1"/>
  <c r="G14" i="6" s="1"/>
  <c r="M15" i="13" s="1"/>
  <c r="O15" i="3"/>
  <c r="F15" i="3"/>
  <c r="O12" i="3"/>
  <c r="R12" i="3" s="1"/>
  <c r="S12" i="3" s="1"/>
  <c r="U12" i="3" s="1"/>
  <c r="J12" i="3" s="1"/>
  <c r="F12" i="3"/>
  <c r="T13" i="6"/>
  <c r="U13" i="4"/>
  <c r="J13" i="4" s="1"/>
  <c r="M13" i="4" s="1"/>
  <c r="G13" i="4" s="1"/>
  <c r="G14" i="16" s="1"/>
  <c r="R13" i="6"/>
  <c r="S13" i="6" s="1"/>
  <c r="U13" i="6" s="1"/>
  <c r="J13" i="6" s="1"/>
  <c r="M13" i="6" s="1"/>
  <c r="G13" i="6" s="1"/>
  <c r="M14" i="13" s="1"/>
  <c r="K13" i="6"/>
  <c r="O12" i="6"/>
  <c r="T15" i="7"/>
  <c r="U10" i="4"/>
  <c r="J10" i="4" s="1"/>
  <c r="M10" i="4" s="1"/>
  <c r="G10" i="4" s="1"/>
  <c r="G11" i="16" s="1"/>
  <c r="R15" i="7"/>
  <c r="S15" i="7" s="1"/>
  <c r="U15" i="7" s="1"/>
  <c r="J15" i="7" s="1"/>
  <c r="M15" i="7" s="1"/>
  <c r="R12" i="7"/>
  <c r="S12" i="7" s="1"/>
  <c r="R14" i="8"/>
  <c r="S14" i="8" s="1"/>
  <c r="T13" i="8"/>
  <c r="E69" i="6"/>
  <c r="T13" i="3"/>
  <c r="K14" i="3"/>
  <c r="T14" i="3"/>
  <c r="K15" i="7"/>
  <c r="R13" i="3"/>
  <c r="S13" i="3" s="1"/>
  <c r="U13" i="3" s="1"/>
  <c r="J13" i="3" s="1"/>
  <c r="M13" i="3" s="1"/>
  <c r="G13" i="3" s="1"/>
  <c r="O15" i="6"/>
  <c r="Q12" i="6"/>
  <c r="Q15" i="6"/>
  <c r="F15" i="6"/>
  <c r="L11" i="4"/>
  <c r="O12" i="16" s="1"/>
  <c r="K8" i="7"/>
  <c r="O13" i="2"/>
  <c r="O12" i="8"/>
  <c r="F35" i="8"/>
  <c r="T8" i="7"/>
  <c r="U8" i="7" s="1"/>
  <c r="J8" i="7" s="1"/>
  <c r="M8" i="7" s="1"/>
  <c r="T13" i="7"/>
  <c r="Q10" i="7"/>
  <c r="F13" i="2"/>
  <c r="Q11" i="7"/>
  <c r="R8" i="6"/>
  <c r="S8" i="6" s="1"/>
  <c r="F14" i="2"/>
  <c r="E69" i="8"/>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R13" i="7"/>
  <c r="S13" i="7" s="1"/>
  <c r="Q13" i="2"/>
  <c r="U9" i="3"/>
  <c r="J9" i="3" s="1"/>
  <c r="L9" i="3" s="1"/>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4" i="3" l="1"/>
  <c r="P15" i="16" s="1"/>
  <c r="I15" i="13"/>
  <c r="F32" i="8"/>
  <c r="T15" i="3"/>
  <c r="K15" i="3"/>
  <c r="E14" i="9"/>
  <c r="D12" i="8"/>
  <c r="T12" i="3"/>
  <c r="N30" i="3"/>
  <c r="R15" i="3"/>
  <c r="S15" i="3" s="1"/>
  <c r="U15" i="3" s="1"/>
  <c r="J15" i="3" s="1"/>
  <c r="M15" i="3" s="1"/>
  <c r="G15" i="3" s="1"/>
  <c r="I16" i="16" s="1"/>
  <c r="U12" i="7"/>
  <c r="J12" i="7" s="1"/>
  <c r="L12" i="7" s="1"/>
  <c r="S13" i="16" s="1"/>
  <c r="L14" i="4"/>
  <c r="O15" i="16" s="1"/>
  <c r="M14" i="4"/>
  <c r="G14" i="4" s="1"/>
  <c r="G15" i="16" s="1"/>
  <c r="Q15" i="8"/>
  <c r="R15" i="8" s="1"/>
  <c r="S15" i="8" s="1"/>
  <c r="U15" i="8" s="1"/>
  <c r="J15" i="8" s="1"/>
  <c r="Q12" i="8"/>
  <c r="T12" i="8" s="1"/>
  <c r="K12" i="6"/>
  <c r="L9" i="4"/>
  <c r="O10" i="16" s="1"/>
  <c r="U13" i="8"/>
  <c r="J13" i="8" s="1"/>
  <c r="M13" i="8" s="1"/>
  <c r="G13" i="8" s="1"/>
  <c r="I13" i="9" s="1"/>
  <c r="K12" i="3"/>
  <c r="L12" i="3" s="1"/>
  <c r="P13" i="16" s="1"/>
  <c r="L15" i="7"/>
  <c r="S16" i="16" s="1"/>
  <c r="L13" i="4"/>
  <c r="O14" i="16" s="1"/>
  <c r="G11" i="13"/>
  <c r="G10" i="13"/>
  <c r="D9" i="9"/>
  <c r="L13" i="3"/>
  <c r="P14" i="16" s="1"/>
  <c r="G13" i="9"/>
  <c r="K15" i="6"/>
  <c r="L13" i="6"/>
  <c r="R14" i="16" s="1"/>
  <c r="U13" i="7"/>
  <c r="J13" i="7" s="1"/>
  <c r="M13" i="7" s="1"/>
  <c r="T12" i="6"/>
  <c r="R12" i="6"/>
  <c r="S12" i="6" s="1"/>
  <c r="U12" i="6" s="1"/>
  <c r="J12" i="6" s="1"/>
  <c r="M12" i="6" s="1"/>
  <c r="G12" i="6" s="1"/>
  <c r="D10" i="9"/>
  <c r="L10" i="4"/>
  <c r="O11" i="16" s="1"/>
  <c r="U14" i="8"/>
  <c r="J14" i="8" s="1"/>
  <c r="N30" i="8" s="1"/>
  <c r="R15" i="6"/>
  <c r="S15" i="6" s="1"/>
  <c r="U15" i="6" s="1"/>
  <c r="J15" i="6" s="1"/>
  <c r="M15" i="6" s="1"/>
  <c r="G15" i="6" s="1"/>
  <c r="T15" i="6"/>
  <c r="U12" i="13"/>
  <c r="M11" i="9"/>
  <c r="R12" i="8"/>
  <c r="S12" i="8" s="1"/>
  <c r="T13" i="2"/>
  <c r="U8" i="6"/>
  <c r="J8" i="6" s="1"/>
  <c r="M8" i="6" s="1"/>
  <c r="G8" i="6" s="1"/>
  <c r="M9" i="13" s="1"/>
  <c r="R13" i="2"/>
  <c r="S13" i="2" s="1"/>
  <c r="V11" i="13"/>
  <c r="G14" i="9"/>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D13" i="9"/>
  <c r="G14" i="13"/>
  <c r="K9" i="7"/>
  <c r="T14" i="2"/>
  <c r="V12" i="13"/>
  <c r="N11" i="9"/>
  <c r="T15" i="5"/>
  <c r="W14" i="13"/>
  <c r="N14" i="9"/>
  <c r="M9" i="3"/>
  <c r="G9" i="3" s="1"/>
  <c r="I10" i="13" s="1"/>
  <c r="I14" i="13"/>
  <c r="I14" i="16"/>
  <c r="G12" i="13"/>
  <c r="G12" i="16"/>
  <c r="N9" i="9"/>
  <c r="P10" i="16"/>
  <c r="M14" i="7"/>
  <c r="N30" i="7"/>
  <c r="L14" i="7"/>
  <c r="S15" i="16" s="1"/>
  <c r="L8" i="7"/>
  <c r="S9" i="16" s="1"/>
  <c r="O13" i="9"/>
  <c r="O14" i="9"/>
  <c r="V10"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I16" i="13"/>
  <c r="U10" i="2"/>
  <c r="J10" i="2" s="1"/>
  <c r="M10" i="2" s="1"/>
  <c r="G10" i="2" s="1"/>
  <c r="E11" i="16" s="1"/>
  <c r="O10" i="9"/>
  <c r="W11" i="13"/>
  <c r="N8" i="9"/>
  <c r="V9" i="13"/>
  <c r="O11" i="9"/>
  <c r="W12" i="13"/>
  <c r="E8" i="9"/>
  <c r="I9" i="13"/>
  <c r="O8" i="9"/>
  <c r="W9" i="13"/>
  <c r="M14" i="9"/>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V15" i="13" l="1"/>
  <c r="L15" i="3"/>
  <c r="P16" i="16" s="1"/>
  <c r="E15" i="9"/>
  <c r="Y13" i="13"/>
  <c r="U15" i="13"/>
  <c r="T15" i="8"/>
  <c r="K15" i="8"/>
  <c r="L15" i="8" s="1"/>
  <c r="T16" i="16" s="1"/>
  <c r="M9" i="9"/>
  <c r="U10" i="13"/>
  <c r="Q12" i="9"/>
  <c r="G15" i="13"/>
  <c r="N13" i="9"/>
  <c r="D14" i="9"/>
  <c r="V14" i="13"/>
  <c r="M12" i="7"/>
  <c r="P13" i="9"/>
  <c r="Q15" i="9"/>
  <c r="L12" i="6"/>
  <c r="R13" i="16" s="1"/>
  <c r="U14" i="13"/>
  <c r="K12" i="8"/>
  <c r="U11" i="7"/>
  <c r="J11" i="7" s="1"/>
  <c r="L11" i="7" s="1"/>
  <c r="S12" i="16" s="1"/>
  <c r="Y16" i="13"/>
  <c r="L13" i="8"/>
  <c r="T14" i="16" s="1"/>
  <c r="M13" i="9"/>
  <c r="L13" i="7"/>
  <c r="S14" i="16" s="1"/>
  <c r="L14" i="8"/>
  <c r="T15" i="16" s="1"/>
  <c r="X14" i="13"/>
  <c r="U12" i="8"/>
  <c r="J12" i="8" s="1"/>
  <c r="L15" i="6"/>
  <c r="R16" i="16" s="1"/>
  <c r="U14" i="2"/>
  <c r="J14" i="2" s="1"/>
  <c r="M14" i="2" s="1"/>
  <c r="G14" i="2" s="1"/>
  <c r="E15" i="16" s="1"/>
  <c r="K14" i="16"/>
  <c r="Q14" i="13"/>
  <c r="U13" i="2"/>
  <c r="J13" i="2" s="1"/>
  <c r="M13" i="2" s="1"/>
  <c r="G13" i="2" s="1"/>
  <c r="E14" i="16" s="1"/>
  <c r="M14" i="8"/>
  <c r="G14" i="8" s="1"/>
  <c r="K15" i="16" s="1"/>
  <c r="U11" i="13"/>
  <c r="U10" i="7"/>
  <c r="J10" i="7" s="1"/>
  <c r="M10" i="7" s="1"/>
  <c r="M10" i="9"/>
  <c r="L8" i="6"/>
  <c r="R9" i="16" s="1"/>
  <c r="L15" i="5"/>
  <c r="Q16" i="16" s="1"/>
  <c r="T9" i="13"/>
  <c r="L8" i="9"/>
  <c r="X15" i="13"/>
  <c r="P14" i="9"/>
  <c r="G8" i="9"/>
  <c r="Q14" i="9"/>
  <c r="Y15" i="13"/>
  <c r="E9" i="13"/>
  <c r="L10" i="2"/>
  <c r="N11" i="16" s="1"/>
  <c r="L11" i="6"/>
  <c r="R12" i="16" s="1"/>
  <c r="V16" i="13"/>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P12" i="9"/>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N15" i="9" l="1"/>
  <c r="X13" i="13"/>
  <c r="M11" i="7"/>
  <c r="L12" i="8"/>
  <c r="T13" i="16" s="1"/>
  <c r="R13" i="9"/>
  <c r="Z14" i="13"/>
  <c r="Z15" i="13"/>
  <c r="Y14" i="13"/>
  <c r="Q13" i="9"/>
  <c r="R14" i="9"/>
  <c r="X16" i="13"/>
  <c r="M12" i="8"/>
  <c r="G12" i="8" s="1"/>
  <c r="K13" i="16" s="1"/>
  <c r="L13" i="2"/>
  <c r="N14" i="16" s="1"/>
  <c r="E14" i="13"/>
  <c r="P15" i="9"/>
  <c r="L10" i="7"/>
  <c r="S11" i="16" s="1"/>
  <c r="Q15" i="13"/>
  <c r="E15" i="13"/>
  <c r="C14" i="9"/>
  <c r="N30" i="2"/>
  <c r="L14" i="2"/>
  <c r="N15" i="16" s="1"/>
  <c r="C13" i="9"/>
  <c r="I14" i="9"/>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I12" i="9" l="1"/>
  <c r="Q13" i="13"/>
  <c r="T14" i="13"/>
  <c r="L13" i="9"/>
  <c r="L14" i="9"/>
  <c r="Q10" i="9"/>
  <c r="T15" i="13"/>
  <c r="Y11"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<sst xmlns="http://schemas.openxmlformats.org/spreadsheetml/2006/main" count="654" uniqueCount="141">
  <si>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</si>
  <si>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</si>
  <si>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</si>
  <si>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</si>
  <si>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</si>
  <si>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</si>
  <si>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</si>
  <si>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</si>
  <si>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</si>
  <si>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</si>
  <si>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</si>
  <si>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</si>
  <si>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</si>
  <si>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</si>
  <si>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</si>
  <si>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</si>
  <si>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</si>
  <si>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</si>
  <si>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</si>
  <si>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</si>
  <si>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</si>
  <si>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</si>
  <si>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</si>
  <si>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</si>
  <si>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</si>
  <si>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</si>
  <si>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</si>
  <si>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</si>
  <si>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</si>
  <si>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</si>
  <si>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</si>
  <si>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</si>
  <si>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</si>
  <si>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</si>
  <si>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</si>
  <si>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</si>
  <si>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</si>
  <si>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</si>
  <si>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</si>
  <si>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</si>
  <si>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</si>
  <si>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</si>
  <si>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</si>
  <si>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</si>
  <si>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</si>
  <si>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</si>
  <si>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</si>
  <si>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</si>
  <si>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</si>
  <si>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</si>
  <si>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</si>
  <si>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</si>
  <si>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</si>
  <si>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</si>
  <si>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</si>
  <si>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</si>
  <si>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</si>
  <si>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</si>
  <si>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</si>
  <si>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</si>
  <si>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</si>
  <si>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</si>
  <si>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</si>
  <si>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</si>
  <si>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</si>
  <si>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</si>
  <si>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</si>
  <si>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</si>
  <si>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</si>
  <si>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</si>
  <si>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</si>
  <si>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</si>
  <si>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</si>
  <si>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</si>
  <si>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</si>
  <si>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</si>
  <si>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</si>
  <si>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</si>
  <si>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</si>
  <si>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</si>
  <si>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</si>
  <si>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</si>
  <si>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</si>
  <si>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</si>
  <si>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</si>
  <si>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</si>
  <si>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</si>
  <si>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</si>
  <si>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</si>
  <si>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</si>
  <si>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</si>
  <si>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</si>
  <si>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</si>
  <si>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</si>
  <si>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</si>
  <si>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</si>
  <si>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</si>
  <si>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</si>
  <si>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</si>
  <si>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</si>
  <si>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</si>
  <si>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</si>
  <si>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</si>
  <si>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</si>
  <si>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</si>
  <si>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</si>
  <si>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</si>
  <si>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</si>
  <si>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</si>
  <si>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</si>
  <si>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</si>
  <si>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</si>
  <si>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</si>
  <si>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</si>
  <si>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</si>
  <si>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</si>
  <si>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</si>
  <si>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</si>
  <si>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</si>
  <si>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</si>
  <si>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</si>
  <si>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</si>
  <si>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</si>
  <si>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</si>
  <si>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</si>
  <si>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</si>
  <si>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</si>
  <si>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</si>
  <si>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</si>
  <si>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</si>
  <si>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</si>
  <si>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</si>
  <si>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</si>
  <si>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</si>
  <si>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</si>
  <si>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</si>
  <si>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Genesee</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</si>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</sst>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8">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
      <sz val="10"/>
      <color indexed="8"/>
      <name val="Arial"/>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5">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xf numFmtId="9" fontId="37" fillId="0" borderId="0" applyFont="0" applyFill="0" applyBorder="0" applyAlignment="0" applyProtection="0"/>
  </cellStyleXfs>
  <cellXfs count="218">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9" fontId="0" fillId="0" borderId="0" xfId="4" applyFont="1"/>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5">
    <cellStyle name="40% - Accent1" xfId="2" builtinId="31"/>
    <cellStyle name="Accent1" xfId="1" builtinId="29"/>
    <cellStyle name="Normal" xfId="0" builtinId="0"/>
    <cellStyle name="Normal 2" xfId="3" xr:uid="{00000000-0005-0000-0000-000003000000}"/>
    <cellStyle name="Percent" xfId="4" builtinId="5"/>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Genesee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N=42</c:v>
                </c:pt>
                <c:pt idx="2">
                  <c:v>Delinquent Findings, total N=134</c:v>
                </c:pt>
                <c:pt idx="3">
                  <c:v>Petitions, total N=261</c:v>
                </c:pt>
                <c:pt idx="4">
                  <c:v>Detentions, total N=136</c:v>
                </c:pt>
                <c:pt idx="5">
                  <c:v>Referrals, total N=485</c:v>
                </c:pt>
                <c:pt idx="6">
                  <c:v>Arrests, total N=413</c:v>
                </c:pt>
                <c:pt idx="7">
                  <c:v>Population, total N=41827</c:v>
                </c:pt>
              </c:strCache>
            </c:strRef>
          </c:cat>
          <c:val>
            <c:numRef>
              <c:f>'Stacked 100%'!$B$7:$B$14</c:f>
              <c:numCache>
                <c:formatCode>0%</c:formatCode>
                <c:ptCount val="8"/>
                <c:pt idx="0">
                  <c:v>0</c:v>
                </c:pt>
                <c:pt idx="1">
                  <c:v>0.76190476190476186</c:v>
                </c:pt>
                <c:pt idx="2">
                  <c:v>0.5074626865671642</c:v>
                </c:pt>
                <c:pt idx="3">
                  <c:v>0.49808429118773945</c:v>
                </c:pt>
                <c:pt idx="4">
                  <c:v>0.61029411764705888</c:v>
                </c:pt>
                <c:pt idx="5">
                  <c:v>0.46391752577319589</c:v>
                </c:pt>
                <c:pt idx="6">
                  <c:v>0.53510895883777243</c:v>
                </c:pt>
                <c:pt idx="7">
                  <c:v>0.26461376622755639</c:v>
                </c:pt>
              </c:numCache>
            </c:numRef>
          </c:val>
          <c:extLst>
            <c:ext xmlns:c16="http://schemas.microsoft.com/office/drawing/2014/chart" uri="{C3380CC4-5D6E-409C-BE32-E72D297353CC}">
              <c16:uniqueId val="{00000000-3D7A-4B6E-9BE9-BFE02A1060E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N=42</c:v>
                </c:pt>
                <c:pt idx="2">
                  <c:v>Delinquent Findings, total N=134</c:v>
                </c:pt>
                <c:pt idx="3">
                  <c:v>Petitions, total N=261</c:v>
                </c:pt>
                <c:pt idx="4">
                  <c:v>Detentions, total N=136</c:v>
                </c:pt>
                <c:pt idx="5">
                  <c:v>Referrals, total N=485</c:v>
                </c:pt>
                <c:pt idx="6">
                  <c:v>Arrests, total N=413</c:v>
                </c:pt>
                <c:pt idx="7">
                  <c:v>Population, total N=41827</c:v>
                </c:pt>
              </c:strCache>
            </c:strRef>
          </c:cat>
          <c:val>
            <c:numRef>
              <c:f>'Stacked 100%'!$C$7:$C$14</c:f>
              <c:numCache>
                <c:formatCode>0%</c:formatCode>
                <c:ptCount val="8"/>
                <c:pt idx="0">
                  <c:v>0</c:v>
                </c:pt>
                <c:pt idx="1">
                  <c:v>0</c:v>
                </c:pt>
                <c:pt idx="2">
                  <c:v>0</c:v>
                </c:pt>
                <c:pt idx="3">
                  <c:v>3.8314176245210726E-3</c:v>
                </c:pt>
                <c:pt idx="4">
                  <c:v>0</c:v>
                </c:pt>
                <c:pt idx="5">
                  <c:v>2.0618556701030928E-3</c:v>
                </c:pt>
                <c:pt idx="6">
                  <c:v>1.2106537530266344E-2</c:v>
                </c:pt>
                <c:pt idx="7">
                  <c:v>5.8741960934324718E-2</c:v>
                </c:pt>
              </c:numCache>
            </c:numRef>
          </c:val>
          <c:extLst>
            <c:ext xmlns:c16="http://schemas.microsoft.com/office/drawing/2014/chart" uri="{C3380CC4-5D6E-409C-BE32-E72D297353CC}">
              <c16:uniqueId val="{00000001-3D7A-4B6E-9BE9-BFE02A1060E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N=42</c:v>
                </c:pt>
                <c:pt idx="2">
                  <c:v>Delinquent Findings, total N=134</c:v>
                </c:pt>
                <c:pt idx="3">
                  <c:v>Petitions, total N=261</c:v>
                </c:pt>
                <c:pt idx="4">
                  <c:v>Detentions, total N=136</c:v>
                </c:pt>
                <c:pt idx="5">
                  <c:v>Referrals, total N=485</c:v>
                </c:pt>
                <c:pt idx="6">
                  <c:v>Arrests, total N=413</c:v>
                </c:pt>
                <c:pt idx="7">
                  <c:v>Population, total N=41827</c:v>
                </c:pt>
              </c:strCache>
            </c:strRef>
          </c:cat>
          <c:val>
            <c:numRef>
              <c:f>'Stacked 100%'!$H$7:$H$14</c:f>
              <c:numCache>
                <c:formatCode>0%</c:formatCode>
                <c:ptCount val="8"/>
                <c:pt idx="0">
                  <c:v>0</c:v>
                </c:pt>
                <c:pt idx="1">
                  <c:v>1.1337868480725624E-3</c:v>
                </c:pt>
                <c:pt idx="2">
                  <c:v>2.227667631989307E-4</c:v>
                </c:pt>
                <c:pt idx="3">
                  <c:v>1.7615713216188839E-4</c:v>
                </c:pt>
                <c:pt idx="4">
                  <c:v>4.8659169550173013E-4</c:v>
                </c:pt>
                <c:pt idx="5">
                  <c:v>7.227122967371665E-5</c:v>
                </c:pt>
                <c:pt idx="6">
                  <c:v>5.8627300388699008E-6</c:v>
                </c:pt>
                <c:pt idx="7">
                  <c:v>4.2126371674030143E-7</c:v>
                </c:pt>
              </c:numCache>
            </c:numRef>
          </c:val>
          <c:extLst>
            <c:ext xmlns:c16="http://schemas.microsoft.com/office/drawing/2014/chart" uri="{C3380CC4-5D6E-409C-BE32-E72D297353CC}">
              <c16:uniqueId val="{00000002-3D7A-4B6E-9BE9-BFE02A1060E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N=42</c:v>
                </c:pt>
                <c:pt idx="2">
                  <c:v>Delinquent Findings, total N=134</c:v>
                </c:pt>
                <c:pt idx="3">
                  <c:v>Petitions, total N=261</c:v>
                </c:pt>
                <c:pt idx="4">
                  <c:v>Detentions, total N=136</c:v>
                </c:pt>
                <c:pt idx="5">
                  <c:v>Referrals, total N=485</c:v>
                </c:pt>
                <c:pt idx="6">
                  <c:v>Arrests, total N=413</c:v>
                </c:pt>
                <c:pt idx="7">
                  <c:v>Population, total N=41827</c:v>
                </c:pt>
              </c:strCache>
            </c:strRef>
          </c:cat>
          <c:val>
            <c:numRef>
              <c:f>'Stacked 100%'!$I$7:$I$14</c:f>
              <c:numCache>
                <c:formatCode>0%</c:formatCode>
                <c:ptCount val="8"/>
                <c:pt idx="0">
                  <c:v>0</c:v>
                </c:pt>
                <c:pt idx="1">
                  <c:v>0.19047619047619047</c:v>
                </c:pt>
                <c:pt idx="2">
                  <c:v>0.46268656716417911</c:v>
                </c:pt>
                <c:pt idx="3">
                  <c:v>0.45210727969348657</c:v>
                </c:pt>
                <c:pt idx="4">
                  <c:v>0.31617647058823528</c:v>
                </c:pt>
                <c:pt idx="5">
                  <c:v>0.48659793814432989</c:v>
                </c:pt>
                <c:pt idx="6">
                  <c:v>0.43341404358353514</c:v>
                </c:pt>
                <c:pt idx="7">
                  <c:v>0.65902407535802232</c:v>
                </c:pt>
              </c:numCache>
            </c:numRef>
          </c:val>
          <c:extLst>
            <c:ext xmlns:c16="http://schemas.microsoft.com/office/drawing/2014/chart" uri="{C3380CC4-5D6E-409C-BE32-E72D297353CC}">
              <c16:uniqueId val="{00000003-3D7A-4B6E-9BE9-BFE02A1060E9}"/>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N=42</c:v>
                </c:pt>
                <c:pt idx="2">
                  <c:v>Delinquent Findings, total N=134</c:v>
                </c:pt>
                <c:pt idx="3">
                  <c:v>Petitions, total N=261</c:v>
                </c:pt>
                <c:pt idx="4">
                  <c:v>Detentions, total N=136</c:v>
                </c:pt>
                <c:pt idx="5">
                  <c:v>Referrals, total N=485</c:v>
                </c:pt>
                <c:pt idx="6">
                  <c:v>Arrests, total N=413</c:v>
                </c:pt>
                <c:pt idx="7">
                  <c:v>Population, total N=41827</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3D7A-4B6E-9BE9-BFE02A1060E9}"/>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2"/>
  <sheetViews>
    <sheetView tabSelected="1" zoomScaleNormal="100" workbookViewId="0">
      <selection activeCell="M3" sqref="M3"/>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22" ht="25.5" customHeight="1">
      <c r="A1" s="2" t="s">
        <v>0</v>
      </c>
      <c r="B1" s="170" t="s">
        <v>1</v>
      </c>
      <c r="C1" s="170"/>
      <c r="D1" s="170"/>
      <c r="E1" s="170"/>
      <c r="F1" s="170"/>
      <c r="G1" s="170"/>
      <c r="H1" s="170"/>
    </row>
    <row r="2" spans="1:22" ht="15" customHeight="1">
      <c r="A2" s="3" t="s">
        <v>122</v>
      </c>
      <c r="B2" s="4"/>
      <c r="C2" s="4"/>
      <c r="D2" s="4"/>
      <c r="E2" s="4"/>
      <c r="F2" s="4"/>
    </row>
    <row r="3" spans="1:22" ht="15" customHeight="1">
      <c r="A3" s="136" t="s">
        <v>136</v>
      </c>
      <c r="B3" s="4"/>
      <c r="C3" s="5" t="s">
        <v>107</v>
      </c>
      <c r="D3" s="6"/>
      <c r="E3" s="6"/>
      <c r="F3" s="6"/>
      <c r="G3" s="7"/>
      <c r="H3" s="7"/>
    </row>
    <row r="4" spans="1:22" ht="15" customHeight="1">
      <c r="A4" s="4"/>
      <c r="B4" s="4"/>
      <c r="C4" s="172" t="s">
        <v>140</v>
      </c>
      <c r="D4" s="172"/>
      <c r="E4" s="172"/>
      <c r="F4" s="172"/>
      <c r="G4" s="8"/>
    </row>
    <row r="5" spans="1:22" ht="65.25" customHeight="1" thickBot="1">
      <c r="A5" s="8"/>
      <c r="B5" s="9" t="s">
        <v>2</v>
      </c>
      <c r="C5" s="9" t="s">
        <v>3</v>
      </c>
      <c r="D5" s="9" t="s">
        <v>132</v>
      </c>
      <c r="E5" s="9" t="s">
        <v>4</v>
      </c>
      <c r="F5" s="9" t="s">
        <v>5</v>
      </c>
      <c r="G5" s="9" t="s">
        <v>135</v>
      </c>
      <c r="H5" s="9" t="s">
        <v>6</v>
      </c>
      <c r="I5" s="9" t="s">
        <v>124</v>
      </c>
      <c r="J5" s="9" t="s">
        <v>7</v>
      </c>
      <c r="K5" s="9" t="s">
        <v>116</v>
      </c>
    </row>
    <row r="6" spans="1:22" ht="15.75" customHeight="1" thickBot="1">
      <c r="A6" s="10" t="s">
        <v>137</v>
      </c>
      <c r="B6" s="11">
        <f>SUM(C6:I6)+K6</f>
        <v>41827</v>
      </c>
      <c r="C6" s="11">
        <v>27565</v>
      </c>
      <c r="D6" s="11">
        <v>11068</v>
      </c>
      <c r="E6" s="11">
        <v>2457</v>
      </c>
      <c r="F6" s="11">
        <v>512</v>
      </c>
      <c r="G6" s="11"/>
      <c r="H6" s="11">
        <v>225</v>
      </c>
      <c r="I6" s="11"/>
      <c r="J6" s="91">
        <f>SUM(D6:I6)</f>
        <v>14262</v>
      </c>
      <c r="K6" s="92"/>
      <c r="N6" s="169"/>
      <c r="O6" s="169"/>
      <c r="P6" s="169"/>
      <c r="Q6" s="169"/>
      <c r="R6" s="169"/>
      <c r="S6" s="169"/>
      <c r="T6" s="169"/>
      <c r="U6" s="169"/>
      <c r="V6" s="169"/>
    </row>
    <row r="7" spans="1:22" ht="15.75" customHeight="1" thickBot="1">
      <c r="A7" s="10" t="s">
        <v>8</v>
      </c>
      <c r="B7" s="11">
        <f t="shared" ref="B7:B15" si="0">SUM(C7:I7)+K7</f>
        <v>413</v>
      </c>
      <c r="C7" s="11">
        <v>179</v>
      </c>
      <c r="D7" s="11">
        <v>221</v>
      </c>
      <c r="E7" s="11">
        <v>5</v>
      </c>
      <c r="F7" s="11">
        <v>1</v>
      </c>
      <c r="G7" s="11">
        <v>0</v>
      </c>
      <c r="H7" s="11">
        <v>0</v>
      </c>
      <c r="I7" s="11"/>
      <c r="J7" s="91">
        <f t="shared" ref="J7:J15" si="1">SUM(D7:I7)</f>
        <v>227</v>
      </c>
      <c r="K7" s="92">
        <v>7</v>
      </c>
      <c r="N7" s="169"/>
      <c r="O7" s="169"/>
      <c r="P7" s="169"/>
      <c r="Q7" s="169"/>
      <c r="R7" s="169"/>
      <c r="S7" s="169"/>
      <c r="T7" s="169"/>
      <c r="U7" s="169"/>
      <c r="V7" s="169"/>
    </row>
    <row r="8" spans="1:22" ht="15.75" customHeight="1" thickBot="1">
      <c r="A8" s="10" t="s">
        <v>9</v>
      </c>
      <c r="B8" s="11">
        <f t="shared" si="0"/>
        <v>485</v>
      </c>
      <c r="C8" s="11">
        <v>236</v>
      </c>
      <c r="D8" s="11">
        <v>225</v>
      </c>
      <c r="E8" s="11">
        <v>1</v>
      </c>
      <c r="F8" s="11"/>
      <c r="G8" s="11"/>
      <c r="H8" s="11"/>
      <c r="I8" s="11">
        <v>17</v>
      </c>
      <c r="J8" s="91">
        <f t="shared" si="1"/>
        <v>243</v>
      </c>
      <c r="K8" s="92">
        <v>6</v>
      </c>
    </row>
    <row r="9" spans="1:22" ht="15.75" customHeight="1" thickBot="1">
      <c r="A9" s="10" t="s">
        <v>10</v>
      </c>
      <c r="B9" s="11">
        <f t="shared" si="0"/>
        <v>16</v>
      </c>
      <c r="C9" s="11">
        <v>7</v>
      </c>
      <c r="D9" s="11">
        <v>8</v>
      </c>
      <c r="E9" s="11"/>
      <c r="F9" s="11"/>
      <c r="G9" s="11"/>
      <c r="H9" s="11"/>
      <c r="I9" s="11">
        <v>1</v>
      </c>
      <c r="J9" s="91">
        <f t="shared" si="1"/>
        <v>9</v>
      </c>
      <c r="K9" s="92"/>
    </row>
    <row r="10" spans="1:22" ht="15.75" customHeight="1" thickBot="1">
      <c r="A10" s="10" t="s">
        <v>11</v>
      </c>
      <c r="B10" s="11">
        <f t="shared" si="0"/>
        <v>136</v>
      </c>
      <c r="C10" s="11">
        <v>43</v>
      </c>
      <c r="D10" s="11">
        <v>83</v>
      </c>
      <c r="E10" s="11"/>
      <c r="F10" s="11"/>
      <c r="G10" s="11"/>
      <c r="H10" s="11"/>
      <c r="I10" s="11">
        <v>9</v>
      </c>
      <c r="J10" s="91">
        <f t="shared" si="1"/>
        <v>92</v>
      </c>
      <c r="K10" s="92">
        <v>1</v>
      </c>
    </row>
    <row r="11" spans="1:22" ht="15.75" customHeight="1" thickBot="1">
      <c r="A11" s="10" t="s">
        <v>12</v>
      </c>
      <c r="B11" s="11">
        <f t="shared" si="0"/>
        <v>261</v>
      </c>
      <c r="C11" s="11">
        <v>118</v>
      </c>
      <c r="D11" s="11">
        <v>130</v>
      </c>
      <c r="E11" s="11">
        <v>1</v>
      </c>
      <c r="F11" s="11"/>
      <c r="G11" s="11"/>
      <c r="H11" s="11"/>
      <c r="I11" s="11">
        <v>12</v>
      </c>
      <c r="J11" s="91">
        <f t="shared" si="1"/>
        <v>143</v>
      </c>
      <c r="K11" s="92"/>
    </row>
    <row r="12" spans="1:22" ht="15.75" customHeight="1" thickBot="1">
      <c r="A12" s="10" t="s">
        <v>13</v>
      </c>
      <c r="B12" s="11">
        <f t="shared" si="0"/>
        <v>134</v>
      </c>
      <c r="C12" s="11">
        <v>62</v>
      </c>
      <c r="D12" s="11">
        <v>68</v>
      </c>
      <c r="E12" s="11"/>
      <c r="F12" s="11"/>
      <c r="G12" s="11"/>
      <c r="H12" s="11"/>
      <c r="I12" s="11">
        <v>4</v>
      </c>
      <c r="J12" s="91">
        <f t="shared" si="1"/>
        <v>72</v>
      </c>
      <c r="K12" s="92"/>
    </row>
    <row r="13" spans="1:22" ht="15.75" customHeight="1" thickBot="1">
      <c r="A13" s="10" t="s">
        <v>133</v>
      </c>
      <c r="B13" s="11">
        <f t="shared" si="0"/>
        <v>160</v>
      </c>
      <c r="C13" s="11">
        <v>90</v>
      </c>
      <c r="D13" s="11">
        <v>61</v>
      </c>
      <c r="E13" s="11">
        <v>1</v>
      </c>
      <c r="F13" s="11"/>
      <c r="G13" s="11"/>
      <c r="H13" s="11"/>
      <c r="I13" s="11">
        <v>4</v>
      </c>
      <c r="J13" s="91">
        <f t="shared" si="1"/>
        <v>66</v>
      </c>
      <c r="K13" s="92">
        <v>4</v>
      </c>
    </row>
    <row r="14" spans="1:22" ht="26.25" customHeight="1" thickBot="1">
      <c r="A14" s="10" t="s">
        <v>123</v>
      </c>
      <c r="B14" s="11">
        <f t="shared" si="0"/>
        <v>42</v>
      </c>
      <c r="C14" s="11">
        <v>8</v>
      </c>
      <c r="D14" s="11">
        <v>32</v>
      </c>
      <c r="E14" s="11"/>
      <c r="F14" s="11"/>
      <c r="G14" s="11"/>
      <c r="H14" s="11"/>
      <c r="I14" s="11">
        <v>2</v>
      </c>
      <c r="J14" s="91">
        <f t="shared" si="1"/>
        <v>34</v>
      </c>
      <c r="K14" s="92"/>
    </row>
    <row r="15" spans="1:22" ht="15.75" customHeight="1" thickBot="1">
      <c r="A15" s="10" t="s">
        <v>16</v>
      </c>
      <c r="B15" s="11">
        <f t="shared" si="0"/>
        <v>0</v>
      </c>
      <c r="C15" s="11"/>
      <c r="D15" s="11"/>
      <c r="E15" s="11"/>
      <c r="F15" s="11"/>
      <c r="G15" s="11"/>
      <c r="H15" s="11"/>
      <c r="I15" s="11"/>
      <c r="J15" s="91">
        <f t="shared" si="1"/>
        <v>0</v>
      </c>
      <c r="K15" s="92"/>
    </row>
    <row r="16" spans="1:22"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1" t="s">
        <v>138</v>
      </c>
      <c r="B19" s="171"/>
      <c r="C19" s="8"/>
      <c r="D19" s="171" t="s">
        <v>139</v>
      </c>
      <c r="E19" s="171"/>
      <c r="F19" s="171"/>
      <c r="G19" s="171"/>
      <c r="H19" s="171"/>
      <c r="I19" s="171"/>
    </row>
    <row r="20" spans="1:9" ht="15" customHeight="1">
      <c r="A20" s="171" t="s">
        <v>108</v>
      </c>
      <c r="B20" s="171"/>
      <c r="C20" s="8"/>
      <c r="D20" s="171" t="s">
        <v>109</v>
      </c>
      <c r="E20" s="171"/>
      <c r="F20" s="171"/>
      <c r="G20" s="171"/>
      <c r="H20" s="171"/>
      <c r="I20" s="171"/>
    </row>
    <row r="21" spans="1:9" ht="15" customHeight="1">
      <c r="A21" s="171" t="s">
        <v>110</v>
      </c>
      <c r="B21" s="171"/>
      <c r="C21" s="8"/>
      <c r="D21" s="171" t="s">
        <v>111</v>
      </c>
      <c r="E21" s="171"/>
      <c r="F21" s="171"/>
      <c r="G21" s="171"/>
      <c r="H21" s="171"/>
      <c r="I21" s="171"/>
    </row>
    <row r="22" spans="1:9" ht="15" customHeight="1">
      <c r="A22" s="171" t="s">
        <v>112</v>
      </c>
      <c r="B22" s="171"/>
      <c r="C22" s="8"/>
      <c r="D22" s="171" t="s">
        <v>113</v>
      </c>
      <c r="E22" s="171"/>
      <c r="F22" s="171"/>
      <c r="G22" s="171"/>
      <c r="H22" s="171"/>
      <c r="I22" s="171"/>
    </row>
    <row r="23" spans="1:9" ht="15" customHeight="1">
      <c r="A23" s="171" t="s">
        <v>114</v>
      </c>
      <c r="B23" s="171"/>
      <c r="C23" s="8"/>
      <c r="D23" s="171" t="s">
        <v>115</v>
      </c>
      <c r="E23" s="171"/>
      <c r="F23" s="171"/>
      <c r="G23" s="171"/>
      <c r="H23" s="171"/>
      <c r="I23" s="171"/>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3" t="str">
        <f>'Data Entry'!I5</f>
        <v>Biracial or Other</v>
      </c>
      <c r="G1" s="213"/>
      <c r="H1" s="213"/>
      <c r="I1" s="213"/>
      <c r="J1" s="213"/>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Genesee</v>
      </c>
      <c r="C3" s="22"/>
      <c r="D3" s="22"/>
      <c r="E3" s="22"/>
      <c r="F3" s="22"/>
      <c r="G3" s="7"/>
      <c r="H3" s="7"/>
      <c r="I3" s="7"/>
      <c r="J3" s="7"/>
      <c r="K3" s="7"/>
      <c r="N3" s="212" t="s">
        <v>31</v>
      </c>
      <c r="O3" s="212"/>
      <c r="P3" s="212"/>
      <c r="Q3" s="212"/>
      <c r="R3" s="212"/>
      <c r="S3" s="212"/>
      <c r="T3" s="212"/>
      <c r="U3" s="212"/>
    </row>
    <row r="4" spans="2:21" ht="8.25" customHeight="1">
      <c r="B4" s="4"/>
      <c r="C4" s="23"/>
      <c r="D4" s="23"/>
      <c r="E4" s="23"/>
      <c r="F4" s="23"/>
      <c r="G4" s="8"/>
      <c r="H4" s="8"/>
      <c r="I4" s="8"/>
      <c r="N4" s="212"/>
      <c r="O4" s="212"/>
      <c r="P4" s="212"/>
      <c r="Q4" s="212"/>
      <c r="R4" s="212"/>
      <c r="S4" s="212"/>
      <c r="T4" s="212"/>
      <c r="U4" s="212"/>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27565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179</v>
      </c>
      <c r="D7" s="34">
        <f>IF((AND(C66&gt;0,C7&gt;0)),(C7/C66),0)</f>
        <v>6.4937420642118626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179</v>
      </c>
      <c r="Q7" s="42">
        <f>C6-C7</f>
        <v>27386</v>
      </c>
      <c r="R7" s="42">
        <f t="shared" ref="R7:R15" si="5">SUM(N7:Q7)</f>
        <v>27565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236</v>
      </c>
      <c r="D8" s="34">
        <f>IF((AND(C67&gt;0,C8&gt;0)),(C8/C67),0)</f>
        <v>131.84357541899442</v>
      </c>
      <c r="E8" s="33">
        <f>'Data Entry'!I8</f>
        <v>17</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17</v>
      </c>
      <c r="O8" s="42">
        <f>((D67*L67)-E8)+0.05</f>
        <v>-16.95</v>
      </c>
      <c r="P8" s="42">
        <f t="shared" si="4"/>
        <v>236</v>
      </c>
      <c r="Q8" s="42">
        <f>(C$67*L67)-C8</f>
        <v>-57</v>
      </c>
      <c r="R8" s="42">
        <f t="shared" si="5"/>
        <v>179.05</v>
      </c>
      <c r="S8" s="30">
        <f t="shared" si="6"/>
        <v>1645142454.4319999</v>
      </c>
      <c r="T8" s="30">
        <f t="shared" si="7"/>
        <v>-167448.68250000238</v>
      </c>
      <c r="U8" s="31">
        <f t="shared" si="8"/>
        <v>-9824.7560379101615</v>
      </c>
    </row>
    <row r="9" spans="2:21" ht="18" customHeight="1">
      <c r="B9" s="32" t="str">
        <f>'Data Entry'!A9</f>
        <v xml:space="preserve">4. Cases Diverted </v>
      </c>
      <c r="C9" s="33">
        <f>'Data Entry'!C9</f>
        <v>7</v>
      </c>
      <c r="D9" s="34">
        <f>IF((AND(C68&gt;0,C9&gt;0)),((C9/C68)),0)</f>
        <v>2.9661016949152543</v>
      </c>
      <c r="E9" s="33">
        <f>'Data Entry'!I9</f>
        <v>1</v>
      </c>
      <c r="F9" s="34">
        <f>IF((AND($E$9&gt;0,$D$68&gt;0)),(($E$9/$D$68)),0)</f>
        <v>5.8823529411764701</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1</v>
      </c>
      <c r="O9" s="42">
        <f>(D$68*L68)-E9</f>
        <v>16</v>
      </c>
      <c r="P9" s="42">
        <f t="shared" si="4"/>
        <v>7</v>
      </c>
      <c r="Q9" s="42">
        <f>(C$68*L68)-C9</f>
        <v>229</v>
      </c>
      <c r="R9" s="42">
        <f t="shared" si="5"/>
        <v>253</v>
      </c>
      <c r="S9" s="30">
        <f t="shared" si="6"/>
        <v>3463317</v>
      </c>
      <c r="T9" s="30">
        <f t="shared" si="7"/>
        <v>7863520</v>
      </c>
      <c r="U9" s="31">
        <f t="shared" si="8"/>
        <v>0.4404283323498891</v>
      </c>
    </row>
    <row r="10" spans="2:21" ht="18" customHeight="1">
      <c r="B10" s="32" t="str">
        <f>'Data Entry'!A10</f>
        <v>5. Cases Involving Secure Detention</v>
      </c>
      <c r="C10" s="33">
        <f>'Data Entry'!C10</f>
        <v>43</v>
      </c>
      <c r="D10" s="34">
        <f>IF(((AND(C68&gt;0,C10&gt;0))),(C10/(C68)),0)</f>
        <v>18.220338983050848</v>
      </c>
      <c r="E10" s="33">
        <f>'Data Entry'!I10</f>
        <v>9</v>
      </c>
      <c r="F10" s="34">
        <f>IF(((AND($E$10&gt;0,$D$68&gt;0))),($E$10/($D$68)),0)</f>
        <v>52.941176470588232</v>
      </c>
      <c r="G10" s="39" t="str">
        <f t="shared" si="0"/>
        <v>*</v>
      </c>
      <c r="H10" s="40"/>
      <c r="I10" s="41"/>
      <c r="J10" s="40">
        <f>IF((ABS($U10)&gt;Defaults!D$7),1,2)</f>
        <v>1</v>
      </c>
      <c r="K10" s="39">
        <f>IF((AND(N10&gt;Defaults!B$12,(N10+O10)&gt;Defaults!B$13, P10 &gt; Defaults!B$12, (P10+Q10) &gt; Defaults!B$13)),1,20)</f>
        <v>20</v>
      </c>
      <c r="L10" s="1">
        <f t="shared" si="1"/>
        <v>119</v>
      </c>
      <c r="M10" s="1" t="b">
        <f t="shared" si="2"/>
        <v>1</v>
      </c>
      <c r="N10" s="42">
        <f t="shared" si="3"/>
        <v>9</v>
      </c>
      <c r="O10" s="42">
        <f>(D$68*L68)-E10</f>
        <v>8</v>
      </c>
      <c r="P10" s="42">
        <f t="shared" si="4"/>
        <v>43</v>
      </c>
      <c r="Q10" s="42">
        <f>(C$68*L68)-C10</f>
        <v>193</v>
      </c>
      <c r="R10" s="42">
        <f t="shared" si="5"/>
        <v>253</v>
      </c>
      <c r="S10" s="30">
        <f t="shared" si="6"/>
        <v>490933597</v>
      </c>
      <c r="T10" s="30">
        <f t="shared" si="7"/>
        <v>41933424</v>
      </c>
      <c r="U10" s="31">
        <f t="shared" si="8"/>
        <v>11.707453152406538</v>
      </c>
    </row>
    <row r="11" spans="2:21" ht="18" customHeight="1">
      <c r="B11" s="32" t="str">
        <f>'Data Entry'!A11</f>
        <v>6. Cases Petitioned (Charge Filed)</v>
      </c>
      <c r="C11" s="33">
        <f>'Data Entry'!C11</f>
        <v>118</v>
      </c>
      <c r="D11" s="34">
        <f>IF(((AND(C68&gt;0,C11&gt;0))),(C11/(C68)),0)</f>
        <v>50</v>
      </c>
      <c r="E11" s="33">
        <f>'Data Entry'!I11</f>
        <v>12</v>
      </c>
      <c r="F11" s="34">
        <f>IF(((AND($E$11&gt;0,$D$68&gt;0))),($E$11/($D$68)),0)</f>
        <v>70.588235294117638</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12</v>
      </c>
      <c r="O11" s="42">
        <f>(D$68*L68)-E11</f>
        <v>5</v>
      </c>
      <c r="P11" s="42">
        <f t="shared" si="4"/>
        <v>118</v>
      </c>
      <c r="Q11" s="42">
        <f>(C$68*L68)-C11</f>
        <v>118</v>
      </c>
      <c r="R11" s="42">
        <f t="shared" si="5"/>
        <v>253</v>
      </c>
      <c r="S11" s="30">
        <f t="shared" si="6"/>
        <v>172615828</v>
      </c>
      <c r="T11" s="30">
        <f t="shared" si="7"/>
        <v>64151880</v>
      </c>
      <c r="U11" s="31">
        <f t="shared" si="8"/>
        <v>2.6907368575948203</v>
      </c>
    </row>
    <row r="12" spans="2:21" ht="18" customHeight="1">
      <c r="B12" s="32" t="str">
        <f>'Data Entry'!A12</f>
        <v>7. Cases Resulting in Delinquent Findings</v>
      </c>
      <c r="C12" s="33">
        <f>'Data Entry'!C12</f>
        <v>62</v>
      </c>
      <c r="D12" s="34">
        <f>IF(((AND(C69&gt;0,C12&gt;0))),(C12/(C69)),0)</f>
        <v>52.542372881355938</v>
      </c>
      <c r="E12" s="33">
        <f>'Data Entry'!I12</f>
        <v>4</v>
      </c>
      <c r="F12" s="34">
        <f>IF(((AND($D$69&gt;0,$E$12&gt;0))),(E12/(D69)),0)</f>
        <v>33.333333333333336</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4</v>
      </c>
      <c r="O12" s="42">
        <f>(D69*L69)-E12</f>
        <v>8</v>
      </c>
      <c r="P12" s="42">
        <f t="shared" si="4"/>
        <v>62</v>
      </c>
      <c r="Q12" s="42">
        <f>(C69*L69)-C12</f>
        <v>56</v>
      </c>
      <c r="R12" s="42">
        <f t="shared" si="5"/>
        <v>130</v>
      </c>
      <c r="S12" s="30">
        <f t="shared" si="6"/>
        <v>9617920</v>
      </c>
      <c r="T12" s="30">
        <f t="shared" si="7"/>
        <v>5981184</v>
      </c>
      <c r="U12" s="31">
        <f t="shared" si="8"/>
        <v>1.6080294470124978</v>
      </c>
    </row>
    <row r="13" spans="2:21" ht="18" customHeight="1">
      <c r="B13" s="32" t="str">
        <f>'Data Entry'!A13</f>
        <v>8. Cases Resulting in Probation Placement</v>
      </c>
      <c r="C13" s="33">
        <f>'Data Entry'!C13</f>
        <v>90</v>
      </c>
      <c r="D13" s="34">
        <f>IF(((AND(C70&gt;0,C13&gt;0))),(C13/(C70)),0)</f>
        <v>145.16129032258064</v>
      </c>
      <c r="E13" s="33">
        <f>'Data Entry'!I13</f>
        <v>4</v>
      </c>
      <c r="F13" s="34">
        <f>IF(((AND($D$70&gt;0,$E$13&gt;0))),($E$13/($D$70)),0)</f>
        <v>100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4</v>
      </c>
      <c r="O13" s="42">
        <f>(D70*L70)-E13</f>
        <v>0</v>
      </c>
      <c r="P13" s="42">
        <f t="shared" si="4"/>
        <v>90</v>
      </c>
      <c r="Q13" s="42">
        <f>(C70*L70)-C13</f>
        <v>-28</v>
      </c>
      <c r="R13" s="42">
        <f t="shared" si="5"/>
        <v>66</v>
      </c>
      <c r="S13" s="30">
        <f t="shared" si="6"/>
        <v>827904</v>
      </c>
      <c r="T13" s="30">
        <f t="shared" si="7"/>
        <v>-652736</v>
      </c>
      <c r="U13" s="31">
        <f t="shared" si="8"/>
        <v>-1.268359643102265</v>
      </c>
    </row>
    <row r="14" spans="2:21" ht="30.75" customHeight="1">
      <c r="B14" s="32" t="str">
        <f>'Data Entry'!A14</f>
        <v xml:space="preserve">9. Cases Resulting in Confinement in Secure Juvenile Correctional Facilities </v>
      </c>
      <c r="C14" s="33">
        <f>'Data Entry'!C14</f>
        <v>8</v>
      </c>
      <c r="D14" s="34">
        <f>IF(((AND(C70&gt;0,C14&gt;0))), ((C14/(C70))),0)</f>
        <v>12.903225806451614</v>
      </c>
      <c r="E14" s="33">
        <f>'Data Entry'!I14</f>
        <v>2</v>
      </c>
      <c r="F14" s="34">
        <f>IF(((AND($D$70&gt;0,$E$14&gt;0))), (($E$14/($D$70))),0)</f>
        <v>50</v>
      </c>
      <c r="G14" s="39" t="str">
        <f t="shared" si="0"/>
        <v>*</v>
      </c>
      <c r="H14" s="40"/>
      <c r="I14" s="41"/>
      <c r="J14" s="40">
        <f>IF((ABS($U14)&gt;Defaults!D$7),1,2)</f>
        <v>1</v>
      </c>
      <c r="K14" s="39">
        <f>IF((AND(N14&gt;Defaults!B$12,(N14+O14)&gt;Defaults!B$13, P14 &gt; Defaults!B$12, (P14+Q14) &gt; Defaults!B$13)),1,20)</f>
        <v>20</v>
      </c>
      <c r="L14" s="1">
        <f t="shared" si="1"/>
        <v>119</v>
      </c>
      <c r="M14" s="1" t="b">
        <f t="shared" si="2"/>
        <v>1</v>
      </c>
      <c r="N14" s="42">
        <f t="shared" si="3"/>
        <v>2</v>
      </c>
      <c r="O14" s="42">
        <f>(D70*L70)-E14</f>
        <v>2</v>
      </c>
      <c r="P14" s="42">
        <f t="shared" si="4"/>
        <v>8</v>
      </c>
      <c r="Q14" s="42">
        <f>(C70*L70)-C14</f>
        <v>54</v>
      </c>
      <c r="R14" s="42">
        <f t="shared" si="5"/>
        <v>66</v>
      </c>
      <c r="S14" s="30">
        <f t="shared" si="6"/>
        <v>558624</v>
      </c>
      <c r="T14" s="30">
        <f t="shared" si="7"/>
        <v>138880</v>
      </c>
      <c r="U14" s="31">
        <f t="shared" si="8"/>
        <v>4.0223502304147463</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12</v>
      </c>
      <c r="P15" s="42">
        <f t="shared" si="4"/>
        <v>0</v>
      </c>
      <c r="Q15" s="42">
        <f>(C69*L69)-C15</f>
        <v>118</v>
      </c>
      <c r="R15" s="42">
        <f t="shared" si="5"/>
        <v>130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1" t="s">
        <v>79</v>
      </c>
      <c r="C40" s="211"/>
      <c r="D40" s="211"/>
      <c r="E40" s="211"/>
      <c r="F40" s="211"/>
      <c r="G40" s="211"/>
      <c r="H40" s="211"/>
      <c r="I40" s="211"/>
      <c r="J40" s="211"/>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27.565000000000001</v>
      </c>
      <c r="D42" s="56">
        <f>E6/1000</f>
        <v>0</v>
      </c>
      <c r="E42" s="56">
        <f>MAX(C42:D42)</f>
        <v>27.565000000000001</v>
      </c>
      <c r="G42" s="1" t="str">
        <f>B42</f>
        <v>per 1000 youth</v>
      </c>
      <c r="L42" s="57">
        <v>1000</v>
      </c>
      <c r="M42" s="57"/>
      <c r="R42" s="49"/>
    </row>
    <row r="43" spans="2:18" ht="15" hidden="1" customHeight="1">
      <c r="B43" s="49" t="s">
        <v>87</v>
      </c>
      <c r="C43" s="56">
        <f>C7/100</f>
        <v>1.79</v>
      </c>
      <c r="D43" s="56">
        <f>E7/100</f>
        <v>0</v>
      </c>
      <c r="E43" s="56">
        <f>MAX(C43:D43,0)</f>
        <v>1.79</v>
      </c>
      <c r="G43" s="1" t="str">
        <f>B43</f>
        <v>per 100 arrests</v>
      </c>
      <c r="L43" s="57">
        <v>100</v>
      </c>
      <c r="M43" s="57"/>
      <c r="R43" s="49"/>
    </row>
    <row r="44" spans="2:18" ht="15" hidden="1" customHeight="1">
      <c r="B44" s="49" t="s">
        <v>88</v>
      </c>
      <c r="C44" s="56">
        <f>C8/100</f>
        <v>2.36</v>
      </c>
      <c r="D44" s="56">
        <f>E8/100</f>
        <v>0.17</v>
      </c>
      <c r="E44" s="56">
        <f>MAX(C44:D44,0)</f>
        <v>2.36</v>
      </c>
      <c r="G44" s="1" t="str">
        <f>B44</f>
        <v>per 100 referrals</v>
      </c>
      <c r="L44" s="57">
        <v>100</v>
      </c>
      <c r="M44" s="57"/>
      <c r="R44" s="49"/>
    </row>
    <row r="45" spans="2:18" ht="15" hidden="1" customHeight="1">
      <c r="B45" s="49" t="s">
        <v>89</v>
      </c>
      <c r="C45" s="49">
        <f>C11/100</f>
        <v>1.18</v>
      </c>
      <c r="D45" s="49">
        <f>E11/100</f>
        <v>0.12</v>
      </c>
      <c r="E45" s="56">
        <f>MAX(C45:D45,0)</f>
        <v>1.18</v>
      </c>
      <c r="G45" s="1" t="str">
        <f>B45</f>
        <v>per 100 youth petitioned</v>
      </c>
      <c r="L45" s="57">
        <v>100</v>
      </c>
      <c r="M45" s="57"/>
      <c r="R45" s="49"/>
    </row>
    <row r="46" spans="2:18" ht="15" hidden="1" customHeight="1">
      <c r="B46" s="49" t="s">
        <v>90</v>
      </c>
      <c r="C46" s="49">
        <f>C12/100</f>
        <v>0.62</v>
      </c>
      <c r="D46" s="49">
        <f>E12/100</f>
        <v>0.04</v>
      </c>
      <c r="E46" s="56">
        <f>MAX(C46:D46)</f>
        <v>0.62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27.565000000000001</v>
      </c>
      <c r="D48" s="56">
        <f>D42</f>
        <v>0</v>
      </c>
      <c r="E48" s="56">
        <f>MAX(C48:D48)</f>
        <v>27.565000000000001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1.79</v>
      </c>
      <c r="D49" s="49">
        <f t="shared" si="9"/>
        <v>0</v>
      </c>
      <c r="E49" s="49">
        <f>MAX(C49:D49)</f>
        <v>1.79</v>
      </c>
      <c r="G49" s="1" t="str">
        <f>G43</f>
        <v>per 100 arrests</v>
      </c>
      <c r="L49" s="58">
        <f>IF(($E43&gt;0),L43,L42)</f>
        <v>100</v>
      </c>
      <c r="M49" s="58"/>
      <c r="N49" s="21"/>
      <c r="O49" s="21"/>
      <c r="P49" s="21"/>
      <c r="Q49" s="21"/>
      <c r="R49" s="21"/>
    </row>
    <row r="50" spans="2:18" ht="15" hidden="1" customHeight="1">
      <c r="B50" s="49" t="str">
        <f t="shared" si="9"/>
        <v>per 100 referrals</v>
      </c>
      <c r="C50" s="49">
        <f t="shared" si="9"/>
        <v>2.36</v>
      </c>
      <c r="D50" s="49">
        <f t="shared" si="9"/>
        <v>0.17</v>
      </c>
      <c r="E50" s="49">
        <f>MAX(C50:D50)</f>
        <v>2.36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1.18</v>
      </c>
      <c r="D51" s="49">
        <f>IF(($E45&gt;0),D45,D44)</f>
        <v>0.12</v>
      </c>
      <c r="E51" s="49">
        <f>MAX(C51:D51)</f>
        <v>1.18</v>
      </c>
      <c r="G51" s="1" t="str">
        <f>G45</f>
        <v>per 100 youth petitioned</v>
      </c>
      <c r="L51" s="58">
        <f>IF(($E45&gt;0),L45,L44)</f>
        <v>100</v>
      </c>
      <c r="M51" s="58"/>
    </row>
    <row r="52" spans="2:18" ht="15" hidden="1" customHeight="1">
      <c r="B52" s="49" t="str">
        <f>IF(($E46&gt;0),B46,B45)</f>
        <v>per 100 youth found delinquent</v>
      </c>
      <c r="C52" s="49">
        <f>IF(($E46&gt;0),C46,C45)</f>
        <v>0.62</v>
      </c>
      <c r="D52" s="49">
        <f>IF(($E46&gt;0),D46,D45)</f>
        <v>0.04</v>
      </c>
      <c r="E52" s="56">
        <f>MAX(C52:D52)</f>
        <v>0.62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27.565000000000001</v>
      </c>
      <c r="D54" s="56">
        <f>D48</f>
        <v>0</v>
      </c>
      <c r="E54" s="56">
        <f>MAX(C54:D54)</f>
        <v>27.565000000000001</v>
      </c>
      <c r="G54" s="1" t="str">
        <f>G48</f>
        <v>per 1000 youth</v>
      </c>
      <c r="L54" s="58">
        <f>L48</f>
        <v>1000</v>
      </c>
      <c r="M54" s="58"/>
    </row>
    <row r="55" spans="2:18" ht="15" hidden="1" customHeight="1">
      <c r="B55" s="49" t="str">
        <f t="shared" ref="B55:D56" si="10">IF(($E49&gt;0),B49,B48)</f>
        <v>per 100 arrests</v>
      </c>
      <c r="C55" s="49">
        <f t="shared" si="10"/>
        <v>1.79</v>
      </c>
      <c r="D55" s="49">
        <f t="shared" si="10"/>
        <v>0</v>
      </c>
      <c r="E55" s="49">
        <f>MAX(C55:D55)</f>
        <v>1.79</v>
      </c>
      <c r="G55" s="1" t="str">
        <f>G49</f>
        <v>per 100 arrests</v>
      </c>
      <c r="L55" s="58">
        <f>IF(($E49&gt;0),L49,L48)</f>
        <v>100</v>
      </c>
      <c r="M55" s="58"/>
    </row>
    <row r="56" spans="2:18" ht="15" hidden="1" customHeight="1">
      <c r="B56" s="49" t="str">
        <f t="shared" si="10"/>
        <v>per 100 referrals</v>
      </c>
      <c r="C56" s="49">
        <f t="shared" si="10"/>
        <v>2.36</v>
      </c>
      <c r="D56" s="49">
        <f t="shared" si="10"/>
        <v>0.17</v>
      </c>
      <c r="E56" s="49">
        <f>MAX(C56:D56)</f>
        <v>2.36</v>
      </c>
      <c r="G56" s="1" t="str">
        <f>G50</f>
        <v>per 100 referrals</v>
      </c>
      <c r="L56" s="58">
        <f>IF(($E50&gt;0),L50,L49)</f>
        <v>100</v>
      </c>
      <c r="M56" s="58"/>
    </row>
    <row r="57" spans="2:18" ht="15" hidden="1" customHeight="1">
      <c r="B57" s="49" t="str">
        <f>IF(($E51&gt;0),B51,B49)</f>
        <v>per 100 youth petitioned</v>
      </c>
      <c r="C57" s="49">
        <f>IF(($E51&gt;0),C51,C50)</f>
        <v>1.18</v>
      </c>
      <c r="D57" s="49">
        <f>IF(($E51&gt;0),D51,D50)</f>
        <v>0.12</v>
      </c>
      <c r="E57" s="49">
        <f>MAX(C57:D57)</f>
        <v>1.18</v>
      </c>
      <c r="G57" s="1" t="str">
        <f>G51</f>
        <v>per 100 youth petitioned</v>
      </c>
      <c r="L57" s="58">
        <f>IF(($E51&gt;0),L51,L50)</f>
        <v>100</v>
      </c>
      <c r="M57" s="58"/>
    </row>
    <row r="58" spans="2:18" ht="15" hidden="1" customHeight="1">
      <c r="B58" s="49" t="str">
        <f>IF(($E52&gt;0),B52,B51)</f>
        <v>per 100 youth found delinquent</v>
      </c>
      <c r="C58" s="49">
        <f>IF(($E52&gt;0),C52,C51)</f>
        <v>0.62</v>
      </c>
      <c r="D58" s="49">
        <f>IF(($E52&gt;0),D52,D51)</f>
        <v>0.04</v>
      </c>
      <c r="E58" s="56">
        <f>MAX(C58:D58)</f>
        <v>0.62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27.565000000000001</v>
      </c>
      <c r="D60" s="56">
        <f>D54</f>
        <v>0</v>
      </c>
      <c r="E60" s="56">
        <f>MAX(C60:D60)</f>
        <v>27.565000000000001</v>
      </c>
      <c r="G60" s="1" t="str">
        <f>G54</f>
        <v>per 1000 youth</v>
      </c>
      <c r="L60" s="58">
        <f>L54</f>
        <v>1000</v>
      </c>
      <c r="M60" s="58"/>
    </row>
    <row r="61" spans="2:18" ht="15" hidden="1" customHeight="1">
      <c r="B61" s="49" t="str">
        <f t="shared" ref="B61:D62" si="11">IF(($E55&gt;0),B55,B54)</f>
        <v>per 100 arrests</v>
      </c>
      <c r="C61" s="49">
        <f t="shared" si="11"/>
        <v>1.79</v>
      </c>
      <c r="D61" s="49">
        <f t="shared" si="11"/>
        <v>0</v>
      </c>
      <c r="E61" s="49">
        <f>MAX(C61:D61)</f>
        <v>1.79</v>
      </c>
      <c r="G61" s="1" t="str">
        <f>G55</f>
        <v>per 100 arrests</v>
      </c>
      <c r="L61" s="58">
        <f>IF(($E55&gt;0),L55,L54)</f>
        <v>100</v>
      </c>
      <c r="M61" s="58"/>
    </row>
    <row r="62" spans="2:18" ht="15" hidden="1" customHeight="1">
      <c r="B62" s="49" t="str">
        <f t="shared" si="11"/>
        <v>per 100 referrals</v>
      </c>
      <c r="C62" s="49">
        <f t="shared" si="11"/>
        <v>2.36</v>
      </c>
      <c r="D62" s="49">
        <f t="shared" si="11"/>
        <v>0.17</v>
      </c>
      <c r="E62" s="49">
        <f>MAX(C62:D62)</f>
        <v>2.36</v>
      </c>
      <c r="G62" s="1" t="str">
        <f>G56</f>
        <v>per 100 referrals</v>
      </c>
      <c r="L62" s="58">
        <f>IF(($E56&gt;0),L56,L55)</f>
        <v>100</v>
      </c>
      <c r="M62" s="58"/>
    </row>
    <row r="63" spans="2:18" ht="15" hidden="1" customHeight="1">
      <c r="B63" s="49" t="str">
        <f>IF(($E57&gt;0),B57,B55)</f>
        <v>per 100 youth petitioned</v>
      </c>
      <c r="C63" s="49">
        <f>IF(($E57&gt;0),C57,C56)</f>
        <v>1.18</v>
      </c>
      <c r="D63" s="49">
        <f>IF(($E57&gt;0),D57,D56)</f>
        <v>0.12</v>
      </c>
      <c r="E63" s="49">
        <f>MAX(C63:D63)</f>
        <v>1.18</v>
      </c>
      <c r="G63" s="1" t="str">
        <f>G57</f>
        <v>per 100 youth petitioned</v>
      </c>
      <c r="L63" s="58">
        <f>IF(($E57&gt;0),L57,L56)</f>
        <v>100</v>
      </c>
      <c r="M63" s="58"/>
    </row>
    <row r="64" spans="2:18" ht="15" hidden="1" customHeight="1">
      <c r="B64" s="49" t="str">
        <f>IF(($E58&gt;0),B58,B57)</f>
        <v>per 100 youth found delinquent</v>
      </c>
      <c r="C64" s="49">
        <f>IF(($E58&gt;0),C58,C57)</f>
        <v>0.62</v>
      </c>
      <c r="D64" s="49">
        <f>IF(($E58&gt;0),D58,D57)</f>
        <v>0.04</v>
      </c>
      <c r="E64" s="56">
        <f>MAX(C64:D64)</f>
        <v>0.62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27.565000000000001</v>
      </c>
      <c r="D66" s="56">
        <f>D60</f>
        <v>0</v>
      </c>
      <c r="E66" s="56">
        <f>MAX(C66:D66)</f>
        <v>27.565000000000001</v>
      </c>
      <c r="G66" s="1" t="str">
        <f>G60</f>
        <v>per 1000 youth</v>
      </c>
      <c r="L66" s="58">
        <f>L60</f>
        <v>1000</v>
      </c>
      <c r="M66" s="58">
        <f>IF((B66=G66),1,2)</f>
        <v>1</v>
      </c>
    </row>
    <row r="67" spans="2:13" ht="15" hidden="1" customHeight="1">
      <c r="B67" s="49" t="str">
        <f t="shared" ref="B67:D68" si="12">IF(($E61&gt;0),B61,B60)</f>
        <v>per 100 arrests</v>
      </c>
      <c r="C67" s="49">
        <f t="shared" si="12"/>
        <v>1.79</v>
      </c>
      <c r="D67" s="49">
        <f t="shared" si="12"/>
        <v>0</v>
      </c>
      <c r="E67" s="49">
        <f>MAX(C67:D67)</f>
        <v>1.79</v>
      </c>
      <c r="G67" s="1" t="str">
        <f>G61</f>
        <v>per 100 arrests</v>
      </c>
      <c r="L67" s="58">
        <f>IF(($E61&gt;0),L61,L60)</f>
        <v>100</v>
      </c>
      <c r="M67" s="58">
        <f>IF((B67=G67),1,2)</f>
        <v>1</v>
      </c>
    </row>
    <row r="68" spans="2:13" ht="15" hidden="1" customHeight="1">
      <c r="B68" s="49" t="str">
        <f t="shared" si="12"/>
        <v>per 100 referrals</v>
      </c>
      <c r="C68" s="49">
        <f t="shared" si="12"/>
        <v>2.36</v>
      </c>
      <c r="D68" s="49">
        <f t="shared" si="12"/>
        <v>0.17</v>
      </c>
      <c r="E68" s="49">
        <f>MAX(C68:D68)</f>
        <v>2.36</v>
      </c>
      <c r="G68" s="1" t="str">
        <f>G62</f>
        <v>per 100 referrals</v>
      </c>
      <c r="L68" s="58">
        <f>IF(($E62&gt;0),L62,L61)</f>
        <v>100</v>
      </c>
      <c r="M68" s="58">
        <f>IF((B68=G68),1,2)</f>
        <v>1</v>
      </c>
    </row>
    <row r="69" spans="2:13" ht="15" hidden="1" customHeight="1">
      <c r="B69" s="49" t="str">
        <f>IF(($E63&gt;0),B63,B61)</f>
        <v>per 100 youth petitioned</v>
      </c>
      <c r="C69" s="49">
        <f>IF(($E63&gt;0),C63,C62)</f>
        <v>1.18</v>
      </c>
      <c r="D69" s="49">
        <f>IF(($E63&gt;0),D63,D62)</f>
        <v>0.12</v>
      </c>
      <c r="E69" s="49">
        <f>MAX(C69:D69)</f>
        <v>1.18</v>
      </c>
      <c r="G69" s="1" t="str">
        <f>G63</f>
        <v>per 100 youth petitioned</v>
      </c>
      <c r="L69" s="58">
        <f>IF(($E63&gt;0),L63,L62)</f>
        <v>100</v>
      </c>
      <c r="M69" s="58">
        <f>IF((B69=G69),1,2)</f>
        <v>1</v>
      </c>
    </row>
    <row r="70" spans="2:13" ht="15" hidden="1" customHeight="1">
      <c r="B70" s="49" t="str">
        <f>IF(($E64&gt;0),B64,B63)</f>
        <v>per 100 youth found delinquent</v>
      </c>
      <c r="C70" s="49">
        <f>IF(($E64&gt;0),C64,C63)</f>
        <v>0.62</v>
      </c>
      <c r="D70" s="49">
        <f>IF(($E64&gt;0),D64,D63)</f>
        <v>0.04</v>
      </c>
      <c r="E70" s="56">
        <f>MAX(C70:D70)</f>
        <v>0.62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3" t="str">
        <f>'Data Entry'!J5</f>
        <v>All Minorities</v>
      </c>
      <c r="G1" s="213"/>
      <c r="H1" s="213"/>
      <c r="I1" s="213"/>
      <c r="J1" s="213"/>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Genesee</v>
      </c>
      <c r="C3" s="22"/>
      <c r="D3" s="22"/>
      <c r="E3" s="22"/>
      <c r="F3" s="22"/>
      <c r="G3" s="7"/>
      <c r="H3" s="7"/>
      <c r="I3" s="7"/>
      <c r="J3" s="7"/>
      <c r="K3" s="7"/>
      <c r="N3" s="212" t="s">
        <v>31</v>
      </c>
      <c r="O3" s="212"/>
      <c r="P3" s="212"/>
      <c r="Q3" s="212"/>
      <c r="R3" s="212"/>
      <c r="S3" s="212"/>
      <c r="T3" s="212"/>
      <c r="U3" s="212"/>
    </row>
    <row r="4" spans="2:21" ht="8.25" customHeight="1">
      <c r="B4" s="4"/>
      <c r="C4" s="23"/>
      <c r="D4" s="23"/>
      <c r="E4" s="23"/>
      <c r="F4" s="23"/>
      <c r="G4" s="8"/>
      <c r="H4" s="8"/>
      <c r="I4" s="8"/>
      <c r="N4" s="212"/>
      <c r="O4" s="212"/>
      <c r="P4" s="212"/>
      <c r="Q4" s="212"/>
      <c r="R4" s="212"/>
      <c r="S4" s="212"/>
      <c r="T4" s="212"/>
      <c r="U4" s="212"/>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27565</v>
      </c>
      <c r="D6" s="34"/>
      <c r="E6" s="33">
        <f>'Data Entry'!J6</f>
        <v>14262</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179</v>
      </c>
      <c r="D7" s="34">
        <f>IF((AND(C66&gt;0,C7&gt;0)),(C7/C66),0)</f>
        <v>6.4937420642118626</v>
      </c>
      <c r="E7" s="33">
        <f>'Data Entry'!J7</f>
        <v>227</v>
      </c>
      <c r="F7" s="34">
        <f>IF((AND($E$7&gt;0,$D$66&gt;0)),($E$7/$D$66),0)</f>
        <v>15.916421259290422</v>
      </c>
      <c r="G7" s="39">
        <f t="shared" ref="G7:G15" si="0">IF(L$6=100,"*",IF(M7=FALSE,"--",IF(K7=20,"**",($F7/$D7))))</f>
        <v>2.4510399553762037</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227</v>
      </c>
      <c r="O7" s="42">
        <f>E6-E7</f>
        <v>14035</v>
      </c>
      <c r="P7" s="42">
        <f t="shared" ref="P7:P15" si="4">C7</f>
        <v>179</v>
      </c>
      <c r="Q7" s="42">
        <f>C6-C7</f>
        <v>27386</v>
      </c>
      <c r="R7" s="42">
        <f t="shared" ref="R7:R15" si="5">SUM(N7:Q7)</f>
        <v>41827</v>
      </c>
      <c r="S7" s="30">
        <f t="shared" ref="S7:S15" si="6">R7*((((N7*Q7)-(O7*P7))^2))</f>
        <v>5.7396100178932134E+17</v>
      </c>
      <c r="T7" s="30">
        <f t="shared" ref="T7:T15" si="7">(N7+O7)*(P7+Q7)*(N7+P7)*(O7+Q7)</f>
        <v>6611272256739780</v>
      </c>
      <c r="U7" s="31">
        <f t="shared" ref="U7:U15" si="8">IF((S7&gt;0),S7/T7,"- -")</f>
        <v>86.815514397278662</v>
      </c>
    </row>
    <row r="8" spans="2:21" ht="18" customHeight="1">
      <c r="B8" s="32" t="str">
        <f>'Data Entry'!A8</f>
        <v>3. Refer to Juvenile Court</v>
      </c>
      <c r="C8" s="33">
        <f>'Data Entry'!C8</f>
        <v>236</v>
      </c>
      <c r="D8" s="34">
        <f>IF((AND(C67&gt;0,C8&gt;0)),(C8/C67),0)</f>
        <v>131.84357541899442</v>
      </c>
      <c r="E8" s="33">
        <f>'Data Entry'!J8</f>
        <v>243</v>
      </c>
      <c r="F8" s="34">
        <f>IF((AND($E$8&gt;0,$D$67&gt;0)),($E8/$D67),0)</f>
        <v>107.04845814977973</v>
      </c>
      <c r="G8" s="39">
        <f t="shared" si="0"/>
        <v>0.81193533935638018</v>
      </c>
      <c r="H8" s="40"/>
      <c r="I8" s="41"/>
      <c r="J8" s="40">
        <f>IF((ABS($U8)&gt;Defaults!D$7),1,2)</f>
        <v>1</v>
      </c>
      <c r="K8" s="39">
        <f>IF((AND(N8&gt;Defaults!B$12,(N8+O8)&gt;Defaults!B$13, P8 &gt; Defaults!B$12, (P8+Q8) &gt; Defaults!B$13)),1,20)</f>
        <v>1</v>
      </c>
      <c r="L8" s="1">
        <f t="shared" si="1"/>
        <v>1</v>
      </c>
      <c r="M8" s="1" t="b">
        <f t="shared" si="2"/>
        <v>1</v>
      </c>
      <c r="N8" s="42">
        <f t="shared" si="3"/>
        <v>243</v>
      </c>
      <c r="O8" s="42">
        <f>((D67*L67)-E8)+0.05</f>
        <v>-15.95</v>
      </c>
      <c r="P8" s="42">
        <f t="shared" si="4"/>
        <v>236</v>
      </c>
      <c r="Q8" s="42">
        <f>(C$67*L67)-C8</f>
        <v>-57</v>
      </c>
      <c r="R8" s="42">
        <f t="shared" si="5"/>
        <v>406.05</v>
      </c>
      <c r="S8" s="30">
        <f t="shared" si="6"/>
        <v>41312962078.151993</v>
      </c>
      <c r="T8" s="30">
        <f t="shared" si="7"/>
        <v>-1420153690.9475002</v>
      </c>
      <c r="U8" s="31">
        <f t="shared" si="8"/>
        <v>-29.090486713863168</v>
      </c>
    </row>
    <row r="9" spans="2:21" ht="18" customHeight="1">
      <c r="B9" s="32" t="str">
        <f>'Data Entry'!A9</f>
        <v xml:space="preserve">4. Cases Diverted </v>
      </c>
      <c r="C9" s="33">
        <f>'Data Entry'!C9</f>
        <v>7</v>
      </c>
      <c r="D9" s="34">
        <f>IF((AND(C68&gt;0,C9&gt;0)),((C9/C68)),0)</f>
        <v>2.9661016949152543</v>
      </c>
      <c r="E9" s="33">
        <f>'Data Entry'!J9</f>
        <v>9</v>
      </c>
      <c r="F9" s="34">
        <f>IF((AND($E$9&gt;0,$D$68&gt;0)),(($E$9/$D$68)),0)</f>
        <v>3.7037037037037033</v>
      </c>
      <c r="G9" s="39">
        <f t="shared" si="0"/>
        <v>1.2486772486772484</v>
      </c>
      <c r="H9" s="40"/>
      <c r="I9" s="41"/>
      <c r="J9" s="40">
        <f>IF((ABS($U9)&gt;Defaults!D$7),1,2)</f>
        <v>2</v>
      </c>
      <c r="K9" s="39">
        <f>IF((AND(N9&gt;Defaults!B$12,(N9+O9)&gt;Defaults!B$13, P9 &gt; Defaults!B$12, (P9+Q9) &gt; Defaults!B$13)),1,20)</f>
        <v>1</v>
      </c>
      <c r="L9" s="1">
        <f t="shared" si="1"/>
        <v>2</v>
      </c>
      <c r="M9" s="1" t="b">
        <f t="shared" si="2"/>
        <v>1</v>
      </c>
      <c r="N9" s="42">
        <f t="shared" si="3"/>
        <v>9</v>
      </c>
      <c r="O9" s="42">
        <f>(D$68*L68)-E9</f>
        <v>234.00000000000003</v>
      </c>
      <c r="P9" s="42">
        <f t="shared" si="4"/>
        <v>7</v>
      </c>
      <c r="Q9" s="42">
        <f>(C$68*L68)-C9</f>
        <v>229</v>
      </c>
      <c r="R9" s="42">
        <f t="shared" si="5"/>
        <v>479</v>
      </c>
      <c r="S9" s="30">
        <f t="shared" si="6"/>
        <v>85706990.999999896</v>
      </c>
      <c r="T9" s="30">
        <f t="shared" si="7"/>
        <v>424833984.00000006</v>
      </c>
      <c r="U9" s="31">
        <f t="shared" si="8"/>
        <v>0.20174231400470985</v>
      </c>
    </row>
    <row r="10" spans="2:21" ht="18" customHeight="1">
      <c r="B10" s="32" t="str">
        <f>'Data Entry'!A10</f>
        <v>5. Cases Involving Secure Detention</v>
      </c>
      <c r="C10" s="33">
        <f>'Data Entry'!C10</f>
        <v>43</v>
      </c>
      <c r="D10" s="34">
        <f>IF(((AND(C68&gt;0,C10&gt;0))),(C10/(C68)),0)</f>
        <v>18.220338983050848</v>
      </c>
      <c r="E10" s="33">
        <f>'Data Entry'!J10</f>
        <v>92</v>
      </c>
      <c r="F10" s="34">
        <f>IF(((AND($E$10&gt;0,$D$68&gt;0))),($E$10/($D$68)),0)</f>
        <v>37.860082304526749</v>
      </c>
      <c r="G10" s="39">
        <f t="shared" si="0"/>
        <v>2.077902191597282</v>
      </c>
      <c r="H10" s="40"/>
      <c r="I10" s="41"/>
      <c r="J10" s="40">
        <f>IF((ABS($U10)&gt;Defaults!D$7),1,2)</f>
        <v>1</v>
      </c>
      <c r="K10" s="39">
        <f>IF((AND(N10&gt;Defaults!B$12,(N10+O10)&gt;Defaults!B$13, P10 &gt; Defaults!B$12, (P10+Q10) &gt; Defaults!B$13)),1,20)</f>
        <v>1</v>
      </c>
      <c r="L10" s="1">
        <f t="shared" si="1"/>
        <v>1</v>
      </c>
      <c r="M10" s="1" t="b">
        <f t="shared" si="2"/>
        <v>1</v>
      </c>
      <c r="N10" s="42">
        <f t="shared" si="3"/>
        <v>92</v>
      </c>
      <c r="O10" s="42">
        <f>(D$68*L68)-E10</f>
        <v>151.00000000000003</v>
      </c>
      <c r="P10" s="42">
        <f t="shared" si="4"/>
        <v>43</v>
      </c>
      <c r="Q10" s="42">
        <f>(C$68*L68)-C10</f>
        <v>193</v>
      </c>
      <c r="R10" s="42">
        <f t="shared" si="5"/>
        <v>479</v>
      </c>
      <c r="S10" s="30">
        <f t="shared" si="6"/>
        <v>60763625951</v>
      </c>
      <c r="T10" s="30">
        <f t="shared" si="7"/>
        <v>2663241120.0000005</v>
      </c>
      <c r="U10" s="31">
        <f t="shared" si="8"/>
        <v>22.815668282787698</v>
      </c>
    </row>
    <row r="11" spans="2:21" ht="18" customHeight="1">
      <c r="B11" s="32" t="str">
        <f>'Data Entry'!A11</f>
        <v>6. Cases Petitioned (Charge Filed)</v>
      </c>
      <c r="C11" s="33">
        <f>'Data Entry'!C11</f>
        <v>118</v>
      </c>
      <c r="D11" s="34">
        <f>IF(((AND(C68&gt;0,C11&gt;0))),(C11/(C68)),0)</f>
        <v>50</v>
      </c>
      <c r="E11" s="33">
        <f>'Data Entry'!J11</f>
        <v>143</v>
      </c>
      <c r="F11" s="34">
        <f>IF(((AND($E$11&gt;0,$D$68&gt;0))),($E$11/($D$68)),0)</f>
        <v>58.847736625514401</v>
      </c>
      <c r="G11" s="39">
        <f t="shared" si="0"/>
        <v>1.176954732510288</v>
      </c>
      <c r="H11" s="40"/>
      <c r="I11" s="41"/>
      <c r="J11" s="40">
        <f>IF((ABS($U11)&gt;Defaults!D$7),1,2)</f>
        <v>2</v>
      </c>
      <c r="K11" s="39">
        <f>IF((AND(N11&gt;Defaults!B$12,(N11+O11)&gt;Defaults!B$13, P11 &gt; Defaults!B$12, (P11+Q11) &gt; Defaults!B$13)),1,20)</f>
        <v>1</v>
      </c>
      <c r="L11" s="1">
        <f t="shared" si="1"/>
        <v>2</v>
      </c>
      <c r="M11" s="1" t="b">
        <f t="shared" si="2"/>
        <v>1</v>
      </c>
      <c r="N11" s="42">
        <f t="shared" si="3"/>
        <v>143</v>
      </c>
      <c r="O11" s="42">
        <f>(D$68*L68)-E11</f>
        <v>100.00000000000003</v>
      </c>
      <c r="P11" s="42">
        <f t="shared" si="4"/>
        <v>118</v>
      </c>
      <c r="Q11" s="42">
        <f>(C$68*L68)-C11</f>
        <v>118</v>
      </c>
      <c r="R11" s="42">
        <f t="shared" si="5"/>
        <v>479</v>
      </c>
      <c r="S11" s="30">
        <f t="shared" si="6"/>
        <v>12332083003.999983</v>
      </c>
      <c r="T11" s="30">
        <f t="shared" si="7"/>
        <v>3262986504.000001</v>
      </c>
      <c r="U11" s="31">
        <f t="shared" si="8"/>
        <v>3.7793852315608532</v>
      </c>
    </row>
    <row r="12" spans="2:21" ht="18" customHeight="1">
      <c r="B12" s="32" t="str">
        <f>'Data Entry'!A12</f>
        <v>7. Cases Resulting in Delinquent Findings</v>
      </c>
      <c r="C12" s="33">
        <f>'Data Entry'!C12</f>
        <v>62</v>
      </c>
      <c r="D12" s="34">
        <f>IF(((AND(C69&gt;0,C12&gt;0))),(C12/(C69)),0)</f>
        <v>52.542372881355938</v>
      </c>
      <c r="E12" s="33">
        <f>'Data Entry'!J12</f>
        <v>72</v>
      </c>
      <c r="F12" s="34">
        <f>IF(((AND($D$69&gt;0,$E$12&gt;0))),(E12/(D69)),0)</f>
        <v>50.349650349650354</v>
      </c>
      <c r="G12" s="39">
        <f t="shared" si="0"/>
        <v>0.95826753891270022</v>
      </c>
      <c r="H12" s="40"/>
      <c r="I12" s="41"/>
      <c r="J12" s="40">
        <f>IF((ABS($U12)&gt;Defaults!D$7),1,2)</f>
        <v>2</v>
      </c>
      <c r="K12" s="39">
        <f>IF((AND(N12&gt;Defaults!B$12,(N12+O12)&gt;Defaults!B$13, P12 &gt; Defaults!B$12, (P12+Q12) &gt; Defaults!B$13)),1,20)</f>
        <v>1</v>
      </c>
      <c r="L12" s="1">
        <f t="shared" si="1"/>
        <v>2</v>
      </c>
      <c r="M12" s="1" t="b">
        <f t="shared" si="2"/>
        <v>1</v>
      </c>
      <c r="N12" s="42">
        <f t="shared" si="3"/>
        <v>72</v>
      </c>
      <c r="O12" s="42">
        <f>(D69*L69)-E12</f>
        <v>71</v>
      </c>
      <c r="P12" s="42">
        <f t="shared" si="4"/>
        <v>62</v>
      </c>
      <c r="Q12" s="42">
        <f>(C69*L69)-C12</f>
        <v>56</v>
      </c>
      <c r="R12" s="42">
        <f t="shared" si="5"/>
        <v>261</v>
      </c>
      <c r="S12" s="30">
        <f t="shared" si="6"/>
        <v>35730900</v>
      </c>
      <c r="T12" s="30">
        <f t="shared" si="7"/>
        <v>287161732</v>
      </c>
      <c r="U12" s="31">
        <f t="shared" si="8"/>
        <v>0.12442779109578571</v>
      </c>
    </row>
    <row r="13" spans="2:21" ht="18" customHeight="1">
      <c r="B13" s="32" t="str">
        <f>'Data Entry'!A13</f>
        <v>8. Cases Resulting in Probation Placement</v>
      </c>
      <c r="C13" s="33">
        <f>'Data Entry'!C13</f>
        <v>90</v>
      </c>
      <c r="D13" s="34">
        <f>IF(((AND(C70&gt;0,C13&gt;0))),(C13/(C70)),0)</f>
        <v>145.16129032258064</v>
      </c>
      <c r="E13" s="33">
        <f>'Data Entry'!J13</f>
        <v>66</v>
      </c>
      <c r="F13" s="34">
        <f>IF(((AND($D$70&gt;0,$E$13&gt;0))),($E$13/($D$70)),0)</f>
        <v>91.666666666666671</v>
      </c>
      <c r="G13" s="39">
        <f t="shared" si="0"/>
        <v>0.63148148148148153</v>
      </c>
      <c r="H13" s="40"/>
      <c r="I13" s="41"/>
      <c r="J13" s="40">
        <f>IF((ABS($U13)&gt;Defaults!D$7),1,2)</f>
        <v>1</v>
      </c>
      <c r="K13" s="39">
        <f>IF((AND(N13&gt;Defaults!B$12,(N13+O13)&gt;Defaults!B$13, P13 &gt; Defaults!B$12, (P13+Q13) &gt; Defaults!B$13)),1,20)</f>
        <v>1</v>
      </c>
      <c r="L13" s="1">
        <f t="shared" si="1"/>
        <v>1</v>
      </c>
      <c r="M13" s="1" t="b">
        <f t="shared" si="2"/>
        <v>1</v>
      </c>
      <c r="N13" s="42">
        <f t="shared" si="3"/>
        <v>66</v>
      </c>
      <c r="O13" s="42">
        <f>(D70*L70)-E13</f>
        <v>6</v>
      </c>
      <c r="P13" s="42">
        <f t="shared" si="4"/>
        <v>90</v>
      </c>
      <c r="Q13" s="42">
        <f>(C70*L70)-C13</f>
        <v>-28</v>
      </c>
      <c r="R13" s="42">
        <f t="shared" si="5"/>
        <v>134</v>
      </c>
      <c r="S13" s="30">
        <f t="shared" si="6"/>
        <v>764140896</v>
      </c>
      <c r="T13" s="30">
        <f t="shared" si="7"/>
        <v>-15320448</v>
      </c>
      <c r="U13" s="31">
        <f t="shared" si="8"/>
        <v>-49.877190014286789</v>
      </c>
    </row>
    <row r="14" spans="2:21" ht="30.75" customHeight="1">
      <c r="B14" s="32" t="str">
        <f>'Data Entry'!A14</f>
        <v xml:space="preserve">9. Cases Resulting in Confinement in Secure Juvenile Correctional Facilities </v>
      </c>
      <c r="C14" s="33">
        <f>'Data Entry'!C14</f>
        <v>8</v>
      </c>
      <c r="D14" s="34">
        <f>IF(((AND(C70&gt;0,C14&gt;0))), ((C14/(C70))),0)</f>
        <v>12.903225806451614</v>
      </c>
      <c r="E14" s="33">
        <f>'Data Entry'!J14</f>
        <v>34</v>
      </c>
      <c r="F14" s="34">
        <f>IF(((AND($D$70&gt;0,$E$14&gt;0))), (($E$14/($D$70))),0)</f>
        <v>47.222222222222221</v>
      </c>
      <c r="G14" s="39">
        <f t="shared" si="0"/>
        <v>3.6597222222222219</v>
      </c>
      <c r="H14" s="40"/>
      <c r="I14" s="41"/>
      <c r="J14" s="40">
        <f>IF((ABS($U14)&gt;Defaults!D$7),1,2)</f>
        <v>1</v>
      </c>
      <c r="K14" s="39">
        <f>IF((AND(N14&gt;Defaults!B$12,(N14+O14)&gt;Defaults!B$13, P14 &gt; Defaults!B$12, (P14+Q14) &gt; Defaults!B$13)),1,20)</f>
        <v>1</v>
      </c>
      <c r="L14" s="1">
        <f t="shared" si="1"/>
        <v>1</v>
      </c>
      <c r="M14" s="1" t="b">
        <f t="shared" si="2"/>
        <v>1</v>
      </c>
      <c r="N14" s="42">
        <f t="shared" si="3"/>
        <v>34</v>
      </c>
      <c r="O14" s="42">
        <f>(D70*L70)-E14</f>
        <v>38</v>
      </c>
      <c r="P14" s="42">
        <f t="shared" si="4"/>
        <v>8</v>
      </c>
      <c r="Q14" s="42">
        <f>(C70*L70)-C14</f>
        <v>54</v>
      </c>
      <c r="R14" s="42">
        <f t="shared" si="5"/>
        <v>134</v>
      </c>
      <c r="S14" s="30">
        <f t="shared" si="6"/>
        <v>314501216</v>
      </c>
      <c r="T14" s="30">
        <f t="shared" si="7"/>
        <v>17248896</v>
      </c>
      <c r="U14" s="31">
        <f t="shared" si="8"/>
        <v>18.233121470498748</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143</v>
      </c>
      <c r="P15" s="42">
        <f t="shared" si="4"/>
        <v>0</v>
      </c>
      <c r="Q15" s="42">
        <f>(C69*L69)-C15</f>
        <v>118</v>
      </c>
      <c r="R15" s="42">
        <f t="shared" si="5"/>
        <v>261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1" t="s">
        <v>79</v>
      </c>
      <c r="C40" s="211"/>
      <c r="D40" s="211"/>
      <c r="E40" s="211"/>
      <c r="F40" s="211"/>
      <c r="G40" s="211"/>
      <c r="H40" s="211"/>
      <c r="I40" s="211"/>
      <c r="J40" s="211"/>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27.565000000000001</v>
      </c>
      <c r="D42" s="56">
        <f>E6/1000</f>
        <v>14.262</v>
      </c>
      <c r="E42" s="56">
        <f>MAX(C42:D42)</f>
        <v>27.565000000000001</v>
      </c>
      <c r="G42" s="1" t="str">
        <f>B42</f>
        <v>per 1000 youth</v>
      </c>
      <c r="L42" s="57">
        <v>1000</v>
      </c>
      <c r="M42" s="57"/>
      <c r="R42" s="49"/>
    </row>
    <row r="43" spans="2:18" ht="15" hidden="1" customHeight="1">
      <c r="B43" s="49" t="s">
        <v>87</v>
      </c>
      <c r="C43" s="56">
        <f>C7/100</f>
        <v>1.79</v>
      </c>
      <c r="D43" s="56">
        <f>E7/100</f>
        <v>2.27</v>
      </c>
      <c r="E43" s="56">
        <f>MAX(C43:D43,0)</f>
        <v>2.27</v>
      </c>
      <c r="G43" s="1" t="str">
        <f>B43</f>
        <v>per 100 arrests</v>
      </c>
      <c r="L43" s="57">
        <v>100</v>
      </c>
      <c r="M43" s="57"/>
      <c r="R43" s="49"/>
    </row>
    <row r="44" spans="2:18" ht="15" hidden="1" customHeight="1">
      <c r="B44" s="49" t="s">
        <v>88</v>
      </c>
      <c r="C44" s="56">
        <f>C8/100</f>
        <v>2.36</v>
      </c>
      <c r="D44" s="56">
        <f>E8/100</f>
        <v>2.4300000000000002</v>
      </c>
      <c r="E44" s="56">
        <f>MAX(C44:D44,0)</f>
        <v>2.4300000000000002</v>
      </c>
      <c r="G44" s="1" t="str">
        <f>B44</f>
        <v>per 100 referrals</v>
      </c>
      <c r="L44" s="57">
        <v>100</v>
      </c>
      <c r="M44" s="57"/>
      <c r="R44" s="49"/>
    </row>
    <row r="45" spans="2:18" ht="15" hidden="1" customHeight="1">
      <c r="B45" s="49" t="s">
        <v>89</v>
      </c>
      <c r="C45" s="49">
        <f>C11/100</f>
        <v>1.18</v>
      </c>
      <c r="D45" s="49">
        <f>E11/100</f>
        <v>1.43</v>
      </c>
      <c r="E45" s="56">
        <f>MAX(C45:D45,0)</f>
        <v>1.43</v>
      </c>
      <c r="G45" s="1" t="str">
        <f>B45</f>
        <v>per 100 youth petitioned</v>
      </c>
      <c r="L45" s="57">
        <v>100</v>
      </c>
      <c r="M45" s="57"/>
      <c r="R45" s="49"/>
    </row>
    <row r="46" spans="2:18" ht="15" hidden="1" customHeight="1">
      <c r="B46" s="49" t="s">
        <v>90</v>
      </c>
      <c r="C46" s="49">
        <f>C12/100</f>
        <v>0.62</v>
      </c>
      <c r="D46" s="49">
        <f>E12/100</f>
        <v>0.72</v>
      </c>
      <c r="E46" s="56">
        <f>MAX(C46:D46)</f>
        <v>0.72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27.565000000000001</v>
      </c>
      <c r="D48" s="56">
        <f>D42</f>
        <v>14.262</v>
      </c>
      <c r="E48" s="56">
        <f>MAX(C48:D48)</f>
        <v>27.565000000000001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1.79</v>
      </c>
      <c r="D49" s="49">
        <f t="shared" si="9"/>
        <v>2.27</v>
      </c>
      <c r="E49" s="49">
        <f>MAX(C49:D49)</f>
        <v>2.27</v>
      </c>
      <c r="G49" s="1" t="str">
        <f>G43</f>
        <v>per 100 arrests</v>
      </c>
      <c r="L49" s="58">
        <f>IF(($E43&gt;0),L43,L42)</f>
        <v>100</v>
      </c>
      <c r="M49" s="58"/>
      <c r="N49" s="21"/>
      <c r="O49" s="21"/>
      <c r="P49" s="21"/>
      <c r="Q49" s="21"/>
      <c r="R49" s="21"/>
    </row>
    <row r="50" spans="2:18" ht="15" hidden="1" customHeight="1">
      <c r="B50" s="49" t="str">
        <f t="shared" si="9"/>
        <v>per 100 referrals</v>
      </c>
      <c r="C50" s="49">
        <f t="shared" si="9"/>
        <v>2.36</v>
      </c>
      <c r="D50" s="49">
        <f t="shared" si="9"/>
        <v>2.4300000000000002</v>
      </c>
      <c r="E50" s="49">
        <f>MAX(C50:D50)</f>
        <v>2.4300000000000002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1.18</v>
      </c>
      <c r="D51" s="49">
        <f>IF(($E45&gt;0),D45,D44)</f>
        <v>1.43</v>
      </c>
      <c r="E51" s="49">
        <f>MAX(C51:D51)</f>
        <v>1.43</v>
      </c>
      <c r="G51" s="1" t="str">
        <f>G45</f>
        <v>per 100 youth petitioned</v>
      </c>
      <c r="L51" s="58">
        <f>IF(($E45&gt;0),L45,L44)</f>
        <v>100</v>
      </c>
      <c r="M51" s="58"/>
    </row>
    <row r="52" spans="2:18" ht="15" hidden="1" customHeight="1">
      <c r="B52" s="49" t="str">
        <f>IF(($E46&gt;0),B46,B45)</f>
        <v>per 100 youth found delinquent</v>
      </c>
      <c r="C52" s="49">
        <f>IF(($E46&gt;0),C46,C45)</f>
        <v>0.62</v>
      </c>
      <c r="D52" s="49">
        <f>IF(($E46&gt;0),D46,D45)</f>
        <v>0.72</v>
      </c>
      <c r="E52" s="56">
        <f>MAX(C52:D52)</f>
        <v>0.72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27.565000000000001</v>
      </c>
      <c r="D54" s="56">
        <f>D48</f>
        <v>14.262</v>
      </c>
      <c r="E54" s="56">
        <f>MAX(C54:D54)</f>
        <v>27.565000000000001</v>
      </c>
      <c r="G54" s="1" t="str">
        <f>G48</f>
        <v>per 1000 youth</v>
      </c>
      <c r="L54" s="58">
        <f>L48</f>
        <v>1000</v>
      </c>
      <c r="M54" s="58"/>
    </row>
    <row r="55" spans="2:18" ht="15" hidden="1" customHeight="1">
      <c r="B55" s="49" t="str">
        <f t="shared" ref="B55:D56" si="10">IF(($E49&gt;0),B49,B48)</f>
        <v>per 100 arrests</v>
      </c>
      <c r="C55" s="49">
        <f t="shared" si="10"/>
        <v>1.79</v>
      </c>
      <c r="D55" s="49">
        <f t="shared" si="10"/>
        <v>2.27</v>
      </c>
      <c r="E55" s="49">
        <f>MAX(C55:D55)</f>
        <v>2.27</v>
      </c>
      <c r="G55" s="1" t="str">
        <f>G49</f>
        <v>per 100 arrests</v>
      </c>
      <c r="L55" s="58">
        <f>IF(($E49&gt;0),L49,L48)</f>
        <v>100</v>
      </c>
      <c r="M55" s="58"/>
    </row>
    <row r="56" spans="2:18" ht="15" hidden="1" customHeight="1">
      <c r="B56" s="49" t="str">
        <f t="shared" si="10"/>
        <v>per 100 referrals</v>
      </c>
      <c r="C56" s="49">
        <f t="shared" si="10"/>
        <v>2.36</v>
      </c>
      <c r="D56" s="49">
        <f t="shared" si="10"/>
        <v>2.4300000000000002</v>
      </c>
      <c r="E56" s="49">
        <f>MAX(C56:D56)</f>
        <v>2.4300000000000002</v>
      </c>
      <c r="G56" s="1" t="str">
        <f>G50</f>
        <v>per 100 referrals</v>
      </c>
      <c r="L56" s="58">
        <f>IF(($E50&gt;0),L50,L49)</f>
        <v>100</v>
      </c>
      <c r="M56" s="58"/>
    </row>
    <row r="57" spans="2:18" ht="15" hidden="1" customHeight="1">
      <c r="B57" s="49" t="str">
        <f>IF(($E51&gt;0),B51,B49)</f>
        <v>per 100 youth petitioned</v>
      </c>
      <c r="C57" s="49">
        <f>IF(($E51&gt;0),C51,C50)</f>
        <v>1.18</v>
      </c>
      <c r="D57" s="49">
        <f>IF(($E51&gt;0),D51,D50)</f>
        <v>1.43</v>
      </c>
      <c r="E57" s="49">
        <f>MAX(C57:D57)</f>
        <v>1.43</v>
      </c>
      <c r="G57" s="1" t="str">
        <f>G51</f>
        <v>per 100 youth petitioned</v>
      </c>
      <c r="L57" s="58">
        <f>IF(($E51&gt;0),L51,L50)</f>
        <v>100</v>
      </c>
      <c r="M57" s="58"/>
    </row>
    <row r="58" spans="2:18" ht="15" hidden="1" customHeight="1">
      <c r="B58" s="49" t="str">
        <f>IF(($E52&gt;0),B52,B51)</f>
        <v>per 100 youth found delinquent</v>
      </c>
      <c r="C58" s="49">
        <f>IF(($E52&gt;0),C52,C51)</f>
        <v>0.62</v>
      </c>
      <c r="D58" s="49">
        <f>IF(($E52&gt;0),D52,D51)</f>
        <v>0.72</v>
      </c>
      <c r="E58" s="56">
        <f>MAX(C58:D58)</f>
        <v>0.72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27.565000000000001</v>
      </c>
      <c r="D60" s="56">
        <f>D54</f>
        <v>14.262</v>
      </c>
      <c r="E60" s="56">
        <f>MAX(C60:D60)</f>
        <v>27.565000000000001</v>
      </c>
      <c r="G60" s="1" t="str">
        <f>G54</f>
        <v>per 1000 youth</v>
      </c>
      <c r="L60" s="58">
        <f>L54</f>
        <v>1000</v>
      </c>
      <c r="M60" s="58"/>
    </row>
    <row r="61" spans="2:18" ht="15" hidden="1" customHeight="1">
      <c r="B61" s="49" t="str">
        <f t="shared" ref="B61:D62" si="11">IF(($E55&gt;0),B55,B54)</f>
        <v>per 100 arrests</v>
      </c>
      <c r="C61" s="49">
        <f t="shared" si="11"/>
        <v>1.79</v>
      </c>
      <c r="D61" s="49">
        <f t="shared" si="11"/>
        <v>2.27</v>
      </c>
      <c r="E61" s="49">
        <f>MAX(C61:D61)</f>
        <v>2.27</v>
      </c>
      <c r="G61" s="1" t="str">
        <f>G55</f>
        <v>per 100 arrests</v>
      </c>
      <c r="L61" s="58">
        <f>IF(($E55&gt;0),L55,L54)</f>
        <v>100</v>
      </c>
      <c r="M61" s="58"/>
    </row>
    <row r="62" spans="2:18" ht="15" hidden="1" customHeight="1">
      <c r="B62" s="49" t="str">
        <f t="shared" si="11"/>
        <v>per 100 referrals</v>
      </c>
      <c r="C62" s="49">
        <f t="shared" si="11"/>
        <v>2.36</v>
      </c>
      <c r="D62" s="49">
        <f t="shared" si="11"/>
        <v>2.4300000000000002</v>
      </c>
      <c r="E62" s="49">
        <f>MAX(C62:D62)</f>
        <v>2.4300000000000002</v>
      </c>
      <c r="G62" s="1" t="str">
        <f>G56</f>
        <v>per 100 referrals</v>
      </c>
      <c r="L62" s="58">
        <f>IF(($E56&gt;0),L56,L55)</f>
        <v>100</v>
      </c>
      <c r="M62" s="58"/>
    </row>
    <row r="63" spans="2:18" ht="15" hidden="1" customHeight="1">
      <c r="B63" s="49" t="str">
        <f>IF(($E57&gt;0),B57,B55)</f>
        <v>per 100 youth petitioned</v>
      </c>
      <c r="C63" s="49">
        <f>IF(($E57&gt;0),C57,C56)</f>
        <v>1.18</v>
      </c>
      <c r="D63" s="49">
        <f>IF(($E57&gt;0),D57,D56)</f>
        <v>1.43</v>
      </c>
      <c r="E63" s="49">
        <f>MAX(C63:D63)</f>
        <v>1.43</v>
      </c>
      <c r="G63" s="1" t="str">
        <f>G57</f>
        <v>per 100 youth petitioned</v>
      </c>
      <c r="L63" s="58">
        <f>IF(($E57&gt;0),L57,L56)</f>
        <v>100</v>
      </c>
      <c r="M63" s="58"/>
    </row>
    <row r="64" spans="2:18" ht="15" hidden="1" customHeight="1">
      <c r="B64" s="49" t="str">
        <f>IF(($E58&gt;0),B58,B57)</f>
        <v>per 100 youth found delinquent</v>
      </c>
      <c r="C64" s="49">
        <f>IF(($E58&gt;0),C58,C57)</f>
        <v>0.62</v>
      </c>
      <c r="D64" s="49">
        <f>IF(($E58&gt;0),D58,D57)</f>
        <v>0.72</v>
      </c>
      <c r="E64" s="56">
        <f>MAX(C64:D64)</f>
        <v>0.72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27.565000000000001</v>
      </c>
      <c r="D66" s="56">
        <f>D60</f>
        <v>14.262</v>
      </c>
      <c r="E66" s="56">
        <f>MAX(C66:D66)</f>
        <v>27.565000000000001</v>
      </c>
      <c r="G66" s="1" t="str">
        <f>G60</f>
        <v>per 1000 youth</v>
      </c>
      <c r="L66" s="58">
        <f>L60</f>
        <v>1000</v>
      </c>
      <c r="M66" s="58">
        <f>IF((B66=G66),1,2)</f>
        <v>1</v>
      </c>
    </row>
    <row r="67" spans="2:13" ht="15" hidden="1" customHeight="1">
      <c r="B67" s="49" t="str">
        <f t="shared" ref="B67:D68" si="12">IF(($E61&gt;0),B61,B60)</f>
        <v>per 100 arrests</v>
      </c>
      <c r="C67" s="49">
        <f t="shared" si="12"/>
        <v>1.79</v>
      </c>
      <c r="D67" s="49">
        <f t="shared" si="12"/>
        <v>2.27</v>
      </c>
      <c r="E67" s="49">
        <f>MAX(C67:D67)</f>
        <v>2.27</v>
      </c>
      <c r="G67" s="1" t="str">
        <f>G61</f>
        <v>per 100 arrests</v>
      </c>
      <c r="L67" s="58">
        <f>IF(($E61&gt;0),L61,L60)</f>
        <v>100</v>
      </c>
      <c r="M67" s="58">
        <f>IF((B67=G67),1,2)</f>
        <v>1</v>
      </c>
    </row>
    <row r="68" spans="2:13" ht="15" hidden="1" customHeight="1">
      <c r="B68" s="49" t="str">
        <f t="shared" si="12"/>
        <v>per 100 referrals</v>
      </c>
      <c r="C68" s="49">
        <f t="shared" si="12"/>
        <v>2.36</v>
      </c>
      <c r="D68" s="49">
        <f t="shared" si="12"/>
        <v>2.4300000000000002</v>
      </c>
      <c r="E68" s="49">
        <f>MAX(C68:D68)</f>
        <v>2.4300000000000002</v>
      </c>
      <c r="G68" s="1" t="str">
        <f>G62</f>
        <v>per 100 referrals</v>
      </c>
      <c r="L68" s="58">
        <f>IF(($E62&gt;0),L62,L61)</f>
        <v>100</v>
      </c>
      <c r="M68" s="58">
        <f>IF((B68=G68),1,2)</f>
        <v>1</v>
      </c>
    </row>
    <row r="69" spans="2:13" ht="15" hidden="1" customHeight="1">
      <c r="B69" s="49" t="str">
        <f>IF(($E63&gt;0),B63,B61)</f>
        <v>per 100 youth petitioned</v>
      </c>
      <c r="C69" s="49">
        <f>IF(($E63&gt;0),C63,C62)</f>
        <v>1.18</v>
      </c>
      <c r="D69" s="49">
        <f>IF(($E63&gt;0),D63,D62)</f>
        <v>1.43</v>
      </c>
      <c r="E69" s="49">
        <f>MAX(C69:D69)</f>
        <v>1.43</v>
      </c>
      <c r="G69" s="1" t="str">
        <f>G63</f>
        <v>per 100 youth petitioned</v>
      </c>
      <c r="L69" s="58">
        <f>IF(($E63&gt;0),L63,L62)</f>
        <v>100</v>
      </c>
      <c r="M69" s="58">
        <f>IF((B69=G69),1,2)</f>
        <v>1</v>
      </c>
    </row>
    <row r="70" spans="2:13" ht="15" hidden="1" customHeight="1">
      <c r="B70" s="49" t="str">
        <f>IF(($E64&gt;0),B64,B63)</f>
        <v>per 100 youth found delinquent</v>
      </c>
      <c r="C70" s="49">
        <f>IF(($E64&gt;0),C64,C63)</f>
        <v>0.62</v>
      </c>
      <c r="D70" s="49">
        <f>IF(($E64&gt;0),D64,D63)</f>
        <v>0.72</v>
      </c>
      <c r="E70" s="56">
        <f>MAX(C70:D70)</f>
        <v>0.72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Genesee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3.0748794148110314</v>
      </c>
      <c r="D7" s="72" t="str">
        <f>Hispanic!G7</f>
        <v>**</v>
      </c>
      <c r="E7" s="72" t="str">
        <f>Asian!G7</f>
        <v>**</v>
      </c>
      <c r="F7" s="72" t="str">
        <f>Hawaiian!G7</f>
        <v>*</v>
      </c>
      <c r="G7" s="72" t="str">
        <f>'Am Indian'!G7</f>
        <v>*</v>
      </c>
      <c r="H7" s="72" t="str">
        <f>'Other - Mixed'!G7</f>
        <v>*</v>
      </c>
      <c r="I7" s="73">
        <f>'All Minorities'!G7</f>
        <v>2.4510399553762037</v>
      </c>
      <c r="L7" s="1">
        <f>'Black or African-American'!L7</f>
        <v>1</v>
      </c>
      <c r="M7" s="1">
        <f>Hispanic!L7</f>
        <v>20</v>
      </c>
      <c r="N7" s="1">
        <f>Asian!L7</f>
        <v>40</v>
      </c>
      <c r="O7" s="1" t="e">
        <f>Hawaiian!L7</f>
        <v>#VALUE!</v>
      </c>
      <c r="P7" s="1">
        <f>'Am Indian'!L7</f>
        <v>139</v>
      </c>
      <c r="Q7" s="1" t="e">
        <f>'Other - Mixed'!L7</f>
        <v>#VALUE!</v>
      </c>
      <c r="R7" s="1">
        <f>'All Minorities'!L7</f>
        <v>1</v>
      </c>
    </row>
    <row r="8" spans="2:18" ht="15" customHeight="1">
      <c r="B8" s="71" t="s">
        <v>9</v>
      </c>
      <c r="C8" s="72">
        <f>'Black or African-American'!$G8</f>
        <v>0.77220262290052921</v>
      </c>
      <c r="D8" s="72" t="str">
        <f>Hispanic!G8</f>
        <v>**</v>
      </c>
      <c r="E8" s="72" t="str">
        <f>Asian!G8</f>
        <v>**</v>
      </c>
      <c r="F8" s="72" t="str">
        <f>Hawaiian!G8</f>
        <v>*</v>
      </c>
      <c r="G8" s="72" t="str">
        <f>'Am Indian'!G8</f>
        <v>*</v>
      </c>
      <c r="H8" s="72" t="str">
        <f>'Other - Mixed'!G8</f>
        <v>*</v>
      </c>
      <c r="I8" s="73">
        <f>'All Minorities'!G8</f>
        <v>0.81193533935638018</v>
      </c>
      <c r="L8" s="1">
        <f>'Black or African-American'!L8</f>
        <v>1</v>
      </c>
      <c r="M8" s="1">
        <f>Hispanic!L8</f>
        <v>20</v>
      </c>
      <c r="N8" s="1">
        <f>Asian!L8</f>
        <v>20</v>
      </c>
      <c r="O8" s="1">
        <f>Hawaiian!L8</f>
        <v>139</v>
      </c>
      <c r="P8" s="1">
        <f>'Am Indian'!L8</f>
        <v>139</v>
      </c>
      <c r="Q8" s="1">
        <f>'Other - Mixed'!L8</f>
        <v>119</v>
      </c>
      <c r="R8" s="1">
        <f>'All Minorities'!L8</f>
        <v>1</v>
      </c>
    </row>
    <row r="9" spans="2:18" ht="15" customHeight="1">
      <c r="B9" s="71" t="s">
        <v>10</v>
      </c>
      <c r="C9" s="72">
        <f>'Black or African-American'!$G9</f>
        <v>1.1987301587301586</v>
      </c>
      <c r="D9" s="72" t="str">
        <f>Hispanic!G9</f>
        <v>**</v>
      </c>
      <c r="E9" s="72" t="str">
        <f>Asian!G9</f>
        <v>--</v>
      </c>
      <c r="F9" s="72" t="str">
        <f>Hawaiian!G9</f>
        <v>*</v>
      </c>
      <c r="G9" s="72" t="str">
        <f>'Am Indian'!G9</f>
        <v>*</v>
      </c>
      <c r="H9" s="72" t="str">
        <f>'Other - Mixed'!G9</f>
        <v>*</v>
      </c>
      <c r="I9" s="73">
        <f>'All Minorities'!G9</f>
        <v>1.2486772486772484</v>
      </c>
      <c r="L9" s="1">
        <f>'Black or African-American'!L9</f>
        <v>2</v>
      </c>
      <c r="M9" s="1">
        <f>Hispanic!L9</f>
        <v>40</v>
      </c>
      <c r="N9" s="1" t="e">
        <f>Asian!L9</f>
        <v>#VALUE!</v>
      </c>
      <c r="O9" s="1" t="e">
        <f>Hawaiian!L9</f>
        <v>#VALUE!</v>
      </c>
      <c r="P9" s="1" t="e">
        <f>'Am Indian'!L9</f>
        <v>#VALUE!</v>
      </c>
      <c r="Q9" s="1">
        <f>'Other - Mixed'!L9</f>
        <v>139</v>
      </c>
      <c r="R9" s="1">
        <f>'All Minorities'!L9</f>
        <v>2</v>
      </c>
    </row>
    <row r="10" spans="2:18" ht="15" customHeight="1">
      <c r="B10" s="71" t="s">
        <v>11</v>
      </c>
      <c r="C10" s="72">
        <f>'Black or African-American'!$G10</f>
        <v>2.0245994832041343</v>
      </c>
      <c r="D10" s="72" t="str">
        <f>Hispanic!G10</f>
        <v>**</v>
      </c>
      <c r="E10" s="72" t="str">
        <f>Asian!G10</f>
        <v>--</v>
      </c>
      <c r="F10" s="72" t="str">
        <f>Hawaiian!G10</f>
        <v>*</v>
      </c>
      <c r="G10" s="72" t="str">
        <f>'Am Indian'!G10</f>
        <v>*</v>
      </c>
      <c r="H10" s="72" t="str">
        <f>'Other - Mixed'!G10</f>
        <v>*</v>
      </c>
      <c r="I10" s="73">
        <f>'All Minorities'!G10</f>
        <v>2.077902191597282</v>
      </c>
      <c r="L10" s="1">
        <f>'Black or African-American'!L10</f>
        <v>1</v>
      </c>
      <c r="M10" s="1">
        <f>Hispanic!L10</f>
        <v>40</v>
      </c>
      <c r="N10" s="1" t="e">
        <f>Asian!L10</f>
        <v>#VALUE!</v>
      </c>
      <c r="O10" s="1" t="e">
        <f>Hawaiian!L10</f>
        <v>#VALUE!</v>
      </c>
      <c r="P10" s="1" t="e">
        <f>'Am Indian'!L10</f>
        <v>#VALUE!</v>
      </c>
      <c r="Q10" s="1">
        <f>'Other - Mixed'!L10</f>
        <v>119</v>
      </c>
      <c r="R10" s="1">
        <f>'All Minorities'!L10</f>
        <v>1</v>
      </c>
    </row>
    <row r="11" spans="2:18" ht="15" customHeight="1">
      <c r="B11" s="71" t="s">
        <v>95</v>
      </c>
      <c r="C11" s="72">
        <f>'Black or African-American'!$G11</f>
        <v>1.1555555555555557</v>
      </c>
      <c r="D11" s="72" t="str">
        <f>Hispanic!G11</f>
        <v>**</v>
      </c>
      <c r="E11" s="72" t="str">
        <f>Asian!G11</f>
        <v>--</v>
      </c>
      <c r="F11" s="72" t="str">
        <f>Hawaiian!G11</f>
        <v>*</v>
      </c>
      <c r="G11" s="72" t="str">
        <f>'Am Indian'!G11</f>
        <v>*</v>
      </c>
      <c r="H11" s="72" t="str">
        <f>'Other - Mixed'!G11</f>
        <v>*</v>
      </c>
      <c r="I11" s="73">
        <f>'All Minorities'!G11</f>
        <v>1.176954732510288</v>
      </c>
      <c r="L11" s="1">
        <f>'Black or African-American'!L11</f>
        <v>2</v>
      </c>
      <c r="M11" s="1">
        <f>Hispanic!L11</f>
        <v>40</v>
      </c>
      <c r="N11" s="1" t="e">
        <f>Asian!L11</f>
        <v>#VALUE!</v>
      </c>
      <c r="O11" s="1" t="e">
        <f>Hawaiian!L11</f>
        <v>#VALUE!</v>
      </c>
      <c r="P11" s="1" t="e">
        <f>'Am Indian'!L11</f>
        <v>#VALUE!</v>
      </c>
      <c r="Q11" s="1">
        <f>'Other - Mixed'!L11</f>
        <v>139</v>
      </c>
      <c r="R11" s="1">
        <f>'All Minorities'!L11</f>
        <v>2</v>
      </c>
    </row>
    <row r="12" spans="2:18" ht="15" customHeight="1">
      <c r="B12" s="71" t="s">
        <v>13</v>
      </c>
      <c r="C12" s="72">
        <f>'Black or African-American'!$G12</f>
        <v>0.99553349875930508</v>
      </c>
      <c r="D12" s="72" t="str">
        <f>Hispanic!G12</f>
        <v>**</v>
      </c>
      <c r="E12" s="72" t="str">
        <f>Asian!G12</f>
        <v>--</v>
      </c>
      <c r="F12" s="72" t="str">
        <f>Hawaiian!G12</f>
        <v>*</v>
      </c>
      <c r="G12" s="72" t="str">
        <f>'Am Indian'!G12</f>
        <v>*</v>
      </c>
      <c r="H12" s="72" t="str">
        <f>'Other - Mixed'!G12</f>
        <v>*</v>
      </c>
      <c r="I12" s="73">
        <f>'All Minorities'!G12</f>
        <v>0.95826753891270022</v>
      </c>
      <c r="L12" s="1">
        <f>'Black or African-American'!L12</f>
        <v>2</v>
      </c>
      <c r="M12" s="1">
        <f>Hispanic!L12</f>
        <v>40</v>
      </c>
      <c r="N12" s="1" t="e">
        <f>Asian!L12</f>
        <v>#VALUE!</v>
      </c>
      <c r="O12" s="1" t="e">
        <f>Hawaiian!L12</f>
        <v>#VALUE!</v>
      </c>
      <c r="P12" s="1" t="e">
        <f>'Am Indian'!L12</f>
        <v>#VALUE!</v>
      </c>
      <c r="Q12" s="1">
        <f>'Other - Mixed'!L12</f>
        <v>139</v>
      </c>
      <c r="R12" s="1">
        <f>'All Minorities'!L12</f>
        <v>2</v>
      </c>
    </row>
    <row r="13" spans="2:18" ht="15" customHeight="1">
      <c r="B13" s="71" t="s">
        <v>14</v>
      </c>
      <c r="C13" s="72">
        <f>'Black or African-American'!$G13</f>
        <v>0.61797385620915035</v>
      </c>
      <c r="D13" s="72" t="str">
        <f>Hispanic!G13</f>
        <v>--</v>
      </c>
      <c r="E13" s="72" t="str">
        <f>Asian!G13</f>
        <v>--</v>
      </c>
      <c r="F13" s="72" t="str">
        <f>Hawaiian!G13</f>
        <v>*</v>
      </c>
      <c r="G13" s="72" t="str">
        <f>'Am Indian'!G13</f>
        <v>*</v>
      </c>
      <c r="H13" s="72" t="str">
        <f>'Other - Mixed'!G13</f>
        <v>*</v>
      </c>
      <c r="I13" s="73">
        <f>'All Minorities'!G13</f>
        <v>0.63148148148148153</v>
      </c>
      <c r="L13" s="1">
        <f>'Black or African-American'!L13</f>
        <v>1</v>
      </c>
      <c r="M13" s="1" t="e">
        <f>Hispanic!L13</f>
        <v>#DIV/0!</v>
      </c>
      <c r="N13" s="1" t="e">
        <f>Asian!L13</f>
        <v>#VALUE!</v>
      </c>
      <c r="O13" s="1" t="e">
        <f>Hawaiian!L13</f>
        <v>#VALUE!</v>
      </c>
      <c r="P13" s="1" t="e">
        <f>'Am Indian'!L13</f>
        <v>#VALUE!</v>
      </c>
      <c r="Q13" s="1">
        <f>'Other - Mixed'!L13</f>
        <v>139</v>
      </c>
      <c r="R13" s="1">
        <f>'All Minorities'!L13</f>
        <v>1</v>
      </c>
    </row>
    <row r="14" spans="2:18" ht="25.5" customHeight="1">
      <c r="B14" s="71" t="s">
        <v>15</v>
      </c>
      <c r="C14" s="72">
        <f>'Black or African-American'!$G14</f>
        <v>3.6470588235294112</v>
      </c>
      <c r="D14" s="72" t="str">
        <f>Hispanic!G14</f>
        <v>--</v>
      </c>
      <c r="E14" s="72" t="str">
        <f>Asian!G14</f>
        <v>--</v>
      </c>
      <c r="F14" s="72" t="str">
        <f>Hawaiian!G14</f>
        <v>*</v>
      </c>
      <c r="G14" s="72" t="str">
        <f>'Am Indian'!G14</f>
        <v>*</v>
      </c>
      <c r="H14" s="72" t="str">
        <f>'Other - Mixed'!G14</f>
        <v>*</v>
      </c>
      <c r="I14" s="73">
        <f>'All Minorities'!G14</f>
        <v>3.6597222222222219</v>
      </c>
      <c r="L14" s="1">
        <f>'Black or African-American'!L14</f>
        <v>1</v>
      </c>
      <c r="M14" s="1" t="e">
        <f>Hispanic!L14</f>
        <v>#VALUE!</v>
      </c>
      <c r="N14" s="1" t="e">
        <f>Asian!L14</f>
        <v>#VALUE!</v>
      </c>
      <c r="O14" s="1" t="e">
        <f>Hawaiian!L14</f>
        <v>#VALUE!</v>
      </c>
      <c r="P14" s="1" t="e">
        <f>'Am Indian'!L14</f>
        <v>#VALUE!</v>
      </c>
      <c r="Q14" s="1">
        <f>'Other - Mixed'!L14</f>
        <v>119</v>
      </c>
      <c r="R14" s="1">
        <f>'All Minorities'!L14</f>
        <v>1</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41827</v>
      </c>
      <c r="D3" s="57">
        <f>'Data Entry'!C6</f>
        <v>27565</v>
      </c>
      <c r="E3" s="57">
        <f>'Data Entry'!D6</f>
        <v>11068</v>
      </c>
      <c r="F3" s="57">
        <f>'Data Entry'!E6</f>
        <v>2457</v>
      </c>
      <c r="G3" s="57">
        <f>'Data Entry'!F6</f>
        <v>512</v>
      </c>
      <c r="H3" s="57">
        <f>'Data Entry'!G6</f>
        <v>0</v>
      </c>
      <c r="I3" s="57">
        <f>'Data Entry'!H6</f>
        <v>225</v>
      </c>
      <c r="J3" s="57">
        <f>'Data Entry'!I6</f>
        <v>0</v>
      </c>
      <c r="K3" s="57">
        <f>'Data Entry'!J6</f>
        <v>14262</v>
      </c>
    </row>
    <row r="4" spans="2:11" ht="15" customHeight="1">
      <c r="B4" s="16" t="s">
        <v>8</v>
      </c>
      <c r="C4" s="1">
        <f>IF((C$3&gt;0),(1000*('Data Entry'!B7/'Data Entry'!B$6)), 0)</f>
        <v>9.8740048294164051</v>
      </c>
      <c r="D4" s="1">
        <f>IF((D$3&gt;0),(1000*('Data Entry'!C7/'Data Entry'!C$6)), 0)</f>
        <v>6.4937420642118626</v>
      </c>
      <c r="E4" s="1">
        <f>IF((E$3&gt;0),(1000*('Data Entry'!D7/'Data Entry'!D$6)), 0)</f>
        <v>19.967473798337547</v>
      </c>
      <c r="F4" s="1">
        <f>IF((F$3&gt;0),(1000*('Data Entry'!E7/'Data Entry'!E$6)), 0)</f>
        <v>2.035002035002035</v>
      </c>
      <c r="G4" s="1">
        <f>IF((G$3&gt;0),(1000*('Data Entry'!F7/'Data Entry'!F$6)), 0)</f>
        <v>1.953125</v>
      </c>
      <c r="H4" s="1">
        <f>IF((H$3&gt;0),(1000*('Data Entry'!G7/'Data Entry'!G$6)), 0)</f>
        <v>0</v>
      </c>
      <c r="I4" s="1">
        <f>IF((I$3&gt;0),(1000*('Data Entry'!H7/'Data Entry'!H$6)), 0)</f>
        <v>0</v>
      </c>
      <c r="J4" s="1">
        <f>IF((J$3&gt;0),(1000*('Data Entry'!I7/'Data Entry'!I$6)), 0)</f>
        <v>0</v>
      </c>
      <c r="K4" s="1">
        <f>IF((K$3&gt;0),(1000*('Data Entry'!J7/'Data Entry'!J$6)), 0)</f>
        <v>15.916421259290422</v>
      </c>
    </row>
    <row r="5" spans="2:11" ht="15" customHeight="1">
      <c r="B5" s="16" t="s">
        <v>9</v>
      </c>
      <c r="C5" s="1">
        <f>IF((C$3&gt;0),(1000*('Data Entry'!B8/'Data Entry'!B$6)), 0)</f>
        <v>11.595380974012002</v>
      </c>
      <c r="D5" s="1">
        <f>IF((D$3&gt;0),(1000*('Data Entry'!C8/'Data Entry'!C$6)), 0)</f>
        <v>8.5615817159441328</v>
      </c>
      <c r="E5" s="1">
        <f>IF((E$3&gt;0),(1000*('Data Entry'!D8/'Data Entry'!D$6)), 0)</f>
        <v>20.328876039031442</v>
      </c>
      <c r="F5" s="1">
        <f>IF((F$3&gt;0),(1000*('Data Entry'!E8/'Data Entry'!E$6)), 0)</f>
        <v>0.40700040700040696</v>
      </c>
      <c r="G5" s="1">
        <f>IF((G$3&gt;0),(1000*('Data Entry'!F8/'Data Entry'!F$6)), 0)</f>
        <v>0</v>
      </c>
      <c r="H5" s="1">
        <f>IF((H$3&gt;0),(1000*('Data Entry'!G8/'Data Entry'!G$6)), 0)</f>
        <v>0</v>
      </c>
      <c r="I5" s="1">
        <f>IF((I$3&gt;0),(1000*('Data Entry'!H8/'Data Entry'!H$6)), 0)</f>
        <v>0</v>
      </c>
      <c r="J5" s="1">
        <f>IF((J$3&gt;0),(1000*('Data Entry'!I8/'Data Entry'!I$6)), 0)</f>
        <v>0</v>
      </c>
      <c r="K5" s="1">
        <f>IF((K$3&gt;0),(1000*('Data Entry'!J8/'Data Entry'!J$6)), 0)</f>
        <v>17.03828355069415</v>
      </c>
    </row>
    <row r="6" spans="2:11" ht="15" customHeight="1">
      <c r="B6" s="16" t="s">
        <v>10</v>
      </c>
      <c r="C6" s="1">
        <f>IF((C$3&gt;0),(1000*('Data Entry'!B9/'Data Entry'!B$6)), 0)</f>
        <v>0.3825280321323547</v>
      </c>
      <c r="D6" s="1">
        <f>IF((D$3&gt;0),(1000*('Data Entry'!C9/'Data Entry'!C$6)), 0)</f>
        <v>0.25394522038817341</v>
      </c>
      <c r="E6" s="1">
        <f>IF((E$3&gt;0),(1000*('Data Entry'!D9/'Data Entry'!D$6)), 0)</f>
        <v>0.72280448138778464</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0.63104753891459819</v>
      </c>
    </row>
    <row r="7" spans="2:11" ht="15" customHeight="1">
      <c r="B7" s="16" t="s">
        <v>11</v>
      </c>
      <c r="C7" s="1">
        <f>IF((C$3&gt;0),(1000*('Data Entry'!B10/'Data Entry'!B$6)), 0)</f>
        <v>3.2514882731250152</v>
      </c>
      <c r="D7" s="1">
        <f>IF((D$3&gt;0),(1000*('Data Entry'!C10/'Data Entry'!C$6)), 0)</f>
        <v>1.5599492109559223</v>
      </c>
      <c r="E7" s="1">
        <f>IF((E$3&gt;0),(1000*('Data Entry'!D10/'Data Entry'!D$6)), 0)</f>
        <v>7.4990964943982652</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6.4507081755714486</v>
      </c>
    </row>
    <row r="8" spans="2:11" ht="15" customHeight="1">
      <c r="B8" s="16" t="s">
        <v>95</v>
      </c>
      <c r="C8" s="1">
        <f>IF((C$3&gt;0),(1000*('Data Entry'!B11/'Data Entry'!B$6)), 0)</f>
        <v>6.2399885241590356</v>
      </c>
      <c r="D8" s="1">
        <f>IF((D$3&gt;0),(1000*('Data Entry'!C11/'Data Entry'!C$6)), 0)</f>
        <v>4.2807908579720664</v>
      </c>
      <c r="E8" s="1">
        <f>IF((E$3&gt;0),(1000*('Data Entry'!D11/'Data Entry'!D$6)), 0)</f>
        <v>11.7455728225515</v>
      </c>
      <c r="F8" s="1">
        <f>IF((F$3&gt;0),(1000*('Data Entry'!E11/'Data Entry'!E$6)), 0)</f>
        <v>0.40700040700040696</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10.026644229420839</v>
      </c>
    </row>
    <row r="9" spans="2:11" ht="15" customHeight="1">
      <c r="B9" s="16" t="s">
        <v>13</v>
      </c>
      <c r="C9" s="1">
        <f>IF((C$3&gt;0),(1000*('Data Entry'!B12/'Data Entry'!B$6)), 0)</f>
        <v>3.2036722691084707</v>
      </c>
      <c r="D9" s="1">
        <f>IF((D$3&gt;0),(1000*('Data Entry'!C12/'Data Entry'!C$6)), 0)</f>
        <v>2.2492290948666791</v>
      </c>
      <c r="E9" s="1">
        <f>IF((E$3&gt;0),(1000*('Data Entry'!D12/'Data Entry'!D$6)), 0)</f>
        <v>6.1438380917961695</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5.0483803113167856</v>
      </c>
    </row>
    <row r="10" spans="2:11" ht="15" customHeight="1">
      <c r="B10" s="16" t="s">
        <v>14</v>
      </c>
      <c r="C10" s="1">
        <f>IF((C$3&gt;0),(1000*('Data Entry'!B13/'Data Entry'!B$6)), 0)</f>
        <v>3.8252803213235471</v>
      </c>
      <c r="D10" s="1">
        <f>IF((D$3&gt;0),(1000*('Data Entry'!C13/'Data Entry'!C$6)), 0)</f>
        <v>3.2650099764193725</v>
      </c>
      <c r="E10" s="1">
        <f>IF((E$3&gt;0),(1000*('Data Entry'!D13/'Data Entry'!D$6)), 0)</f>
        <v>5.5113841705818576</v>
      </c>
      <c r="F10" s="1">
        <f>IF((F$3&gt;0),(1000*('Data Entry'!E13/'Data Entry'!E$6)), 0)</f>
        <v>0.40700040700040696</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4.6276819520403869</v>
      </c>
    </row>
    <row r="11" spans="2:11" ht="25.5" customHeight="1">
      <c r="B11" s="16" t="s">
        <v>15</v>
      </c>
      <c r="C11" s="1">
        <f>IF((C$3&gt;0),(1000*('Data Entry'!B14/'Data Entry'!B$6)), 0)</f>
        <v>1.004136084347431</v>
      </c>
      <c r="D11" s="1">
        <f>IF((D$3&gt;0),(1000*('Data Entry'!C14/'Data Entry'!C$6)), 0)</f>
        <v>0.29022310901505532</v>
      </c>
      <c r="E11" s="1">
        <f>IF((E$3&gt;0),(1000*('Data Entry'!D14/'Data Entry'!D$6)), 0)</f>
        <v>2.8912179255511385</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2.3839573692329266</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4" t="s">
        <v>98</v>
      </c>
      <c r="C14" s="215"/>
      <c r="D14" s="215"/>
      <c r="E14" s="215"/>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Genesee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3.074879414811031</v>
      </c>
      <c r="E19" s="72">
        <f t="shared" si="1"/>
        <v>0.3133789446638609</v>
      </c>
      <c r="F19" s="72">
        <f t="shared" si="1"/>
        <v>0.30077033868715086</v>
      </c>
      <c r="G19" s="72" t="str">
        <f t="shared" si="1"/>
        <v>--</v>
      </c>
      <c r="H19" s="72" t="str">
        <f t="shared" si="1"/>
        <v>--</v>
      </c>
      <c r="I19" s="72" t="str">
        <f t="shared" si="1"/>
        <v>--</v>
      </c>
      <c r="J19" s="73">
        <f t="shared" si="1"/>
        <v>2.4510399553762037</v>
      </c>
    </row>
    <row r="20" spans="2:10" ht="15" customHeight="1">
      <c r="B20" s="71" t="s">
        <v>9</v>
      </c>
      <c r="C20" s="72">
        <f t="shared" ref="C20:J27" si="2">IF(AND(($D5&gt;0),(D5&gt;0)), (D5/$D5),"--")</f>
        <v>1</v>
      </c>
      <c r="D20" s="72">
        <f t="shared" si="2"/>
        <v>2.3744299492199223</v>
      </c>
      <c r="E20" s="72">
        <f t="shared" si="2"/>
        <v>4.7537992453246684E-2</v>
      </c>
      <c r="F20" s="72" t="str">
        <f t="shared" si="2"/>
        <v>--</v>
      </c>
      <c r="G20" s="72" t="str">
        <f t="shared" si="2"/>
        <v>--</v>
      </c>
      <c r="H20" s="72" t="str">
        <f t="shared" si="2"/>
        <v>--</v>
      </c>
      <c r="I20" s="72" t="str">
        <f t="shared" si="2"/>
        <v>--</v>
      </c>
      <c r="J20" s="73">
        <f t="shared" si="2"/>
        <v>1.9900859579444246</v>
      </c>
    </row>
    <row r="21" spans="2:10" ht="15" customHeight="1">
      <c r="B21" s="71" t="s">
        <v>10</v>
      </c>
      <c r="C21" s="72">
        <f t="shared" si="2"/>
        <v>1</v>
      </c>
      <c r="D21" s="72">
        <f t="shared" si="2"/>
        <v>2.8463007899220405</v>
      </c>
      <c r="E21" s="72" t="str">
        <f t="shared" si="2"/>
        <v>--</v>
      </c>
      <c r="F21" s="72" t="str">
        <f t="shared" si="2"/>
        <v>--</v>
      </c>
      <c r="G21" s="72" t="str">
        <f t="shared" si="2"/>
        <v>--</v>
      </c>
      <c r="H21" s="72" t="str">
        <f t="shared" si="2"/>
        <v>--</v>
      </c>
      <c r="I21" s="72" t="str">
        <f t="shared" si="2"/>
        <v>--</v>
      </c>
      <c r="J21" s="73">
        <f t="shared" si="2"/>
        <v>2.4849750585972714</v>
      </c>
    </row>
    <row r="22" spans="2:10" ht="15" customHeight="1">
      <c r="B22" s="71" t="s">
        <v>11</v>
      </c>
      <c r="C22" s="72">
        <f t="shared" si="2"/>
        <v>1</v>
      </c>
      <c r="D22" s="72">
        <f t="shared" si="2"/>
        <v>4.8072696480950743</v>
      </c>
      <c r="E22" s="72" t="str">
        <f t="shared" si="2"/>
        <v>--</v>
      </c>
      <c r="F22" s="72" t="str">
        <f t="shared" si="2"/>
        <v>--</v>
      </c>
      <c r="G22" s="72" t="str">
        <f t="shared" si="2"/>
        <v>--</v>
      </c>
      <c r="H22" s="72" t="str">
        <f t="shared" si="2"/>
        <v>--</v>
      </c>
      <c r="I22" s="72" t="str">
        <f t="shared" si="2"/>
        <v>--</v>
      </c>
      <c r="J22" s="73">
        <f t="shared" si="2"/>
        <v>4.1352039734796975</v>
      </c>
    </row>
    <row r="23" spans="2:10" ht="15" customHeight="1">
      <c r="B23" s="71" t="s">
        <v>95</v>
      </c>
      <c r="C23" s="72">
        <f t="shared" si="2"/>
        <v>1</v>
      </c>
      <c r="D23" s="72">
        <f t="shared" si="2"/>
        <v>2.743785719098577</v>
      </c>
      <c r="E23" s="72">
        <f t="shared" si="2"/>
        <v>9.5075984906493369E-2</v>
      </c>
      <c r="F23" s="72" t="str">
        <f t="shared" si="2"/>
        <v>--</v>
      </c>
      <c r="G23" s="72" t="str">
        <f t="shared" si="2"/>
        <v>--</v>
      </c>
      <c r="H23" s="72" t="str">
        <f t="shared" si="2"/>
        <v>--</v>
      </c>
      <c r="I23" s="72" t="str">
        <f t="shared" si="2"/>
        <v>--</v>
      </c>
      <c r="J23" s="73">
        <f t="shared" si="2"/>
        <v>2.342241086304961</v>
      </c>
    </row>
    <row r="24" spans="2:10" ht="15" customHeight="1">
      <c r="B24" s="71" t="s">
        <v>13</v>
      </c>
      <c r="C24" s="72">
        <f t="shared" si="2"/>
        <v>1</v>
      </c>
      <c r="D24" s="72">
        <f t="shared" si="2"/>
        <v>2.7315305967800225</v>
      </c>
      <c r="E24" s="72" t="str">
        <f t="shared" si="2"/>
        <v>--</v>
      </c>
      <c r="F24" s="72" t="str">
        <f t="shared" si="2"/>
        <v>--</v>
      </c>
      <c r="G24" s="72" t="str">
        <f t="shared" si="2"/>
        <v>--</v>
      </c>
      <c r="H24" s="72" t="str">
        <f t="shared" si="2"/>
        <v>--</v>
      </c>
      <c r="I24" s="72" t="str">
        <f t="shared" si="2"/>
        <v>--</v>
      </c>
      <c r="J24" s="73">
        <f t="shared" si="2"/>
        <v>2.244493601313664</v>
      </c>
    </row>
    <row r="25" spans="2:10" ht="15" customHeight="1">
      <c r="B25" s="71" t="s">
        <v>14</v>
      </c>
      <c r="C25" s="72">
        <f t="shared" si="2"/>
        <v>1</v>
      </c>
      <c r="D25" s="72">
        <f t="shared" si="2"/>
        <v>1.6880144962454322</v>
      </c>
      <c r="E25" s="72">
        <f t="shared" si="2"/>
        <v>0.12465518021073575</v>
      </c>
      <c r="F25" s="72" t="str">
        <f t="shared" si="2"/>
        <v>--</v>
      </c>
      <c r="G25" s="72" t="str">
        <f t="shared" si="2"/>
        <v>--</v>
      </c>
      <c r="H25" s="72" t="str">
        <f t="shared" si="2"/>
        <v>--</v>
      </c>
      <c r="I25" s="72" t="str">
        <f t="shared" si="2"/>
        <v>--</v>
      </c>
      <c r="J25" s="73">
        <f t="shared" si="2"/>
        <v>1.4173561445332585</v>
      </c>
    </row>
    <row r="26" spans="2:10" ht="25.5" customHeight="1">
      <c r="B26" s="71" t="s">
        <v>15</v>
      </c>
      <c r="C26" s="72">
        <f t="shared" si="2"/>
        <v>1</v>
      </c>
      <c r="D26" s="72">
        <f t="shared" si="2"/>
        <v>9.962052764727142</v>
      </c>
      <c r="E26" s="72" t="str">
        <f t="shared" si="2"/>
        <v>--</v>
      </c>
      <c r="F26" s="72" t="str">
        <f t="shared" si="2"/>
        <v>--</v>
      </c>
      <c r="G26" s="72" t="str">
        <f t="shared" si="2"/>
        <v>--</v>
      </c>
      <c r="H26" s="72" t="str">
        <f t="shared" si="2"/>
        <v>--</v>
      </c>
      <c r="I26" s="72" t="str">
        <f t="shared" si="2"/>
        <v>--</v>
      </c>
      <c r="J26" s="73">
        <f t="shared" si="2"/>
        <v>8.2142231103632017</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7" t="s">
        <v>100</v>
      </c>
      <c r="B4" s="217"/>
      <c r="C4" s="217"/>
      <c r="D4" s="217"/>
      <c r="E4" s="217"/>
      <c r="F4" s="217"/>
      <c r="G4" s="217"/>
      <c r="H4" s="217"/>
      <c r="I4" s="217"/>
      <c r="J4" s="217"/>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6" t="s">
        <v>104</v>
      </c>
      <c r="B10" s="216"/>
      <c r="C10" s="216"/>
      <c r="D10" s="216"/>
      <c r="E10" s="216"/>
      <c r="F10" s="216"/>
      <c r="G10" s="216"/>
      <c r="H10" s="216"/>
      <c r="I10" s="216"/>
      <c r="J10" s="216"/>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3" t="s">
        <v>121</v>
      </c>
      <c r="C2" s="174"/>
      <c r="D2" s="174"/>
      <c r="E2" s="174"/>
      <c r="F2" s="174"/>
      <c r="G2" s="174"/>
      <c r="H2" s="174"/>
      <c r="I2" s="174"/>
      <c r="J2" s="174"/>
      <c r="K2" s="174"/>
      <c r="L2" s="174"/>
      <c r="M2" s="174"/>
      <c r="N2" s="174"/>
      <c r="O2" s="174"/>
      <c r="P2" s="174"/>
      <c r="Q2" s="175"/>
    </row>
    <row r="3" spans="2:26" s="1" customFormat="1" ht="19.5" thickTop="1">
      <c r="B3" s="97" t="str">
        <f>'Data Entry'!A2</f>
        <v>State: Michigan</v>
      </c>
      <c r="C3" s="95"/>
      <c r="D3" s="95"/>
      <c r="E3" s="95"/>
      <c r="F3" s="95"/>
      <c r="G3" s="95"/>
      <c r="H3" s="95"/>
      <c r="I3" s="95"/>
      <c r="J3" s="95"/>
      <c r="K3" s="95"/>
      <c r="L3" s="95"/>
      <c r="M3" s="95"/>
      <c r="N3" s="181" t="str">
        <f>'Data Entry'!C3</f>
        <v xml:space="preserve">Reporting Period:  </v>
      </c>
      <c r="O3" s="182"/>
      <c r="P3" s="182"/>
      <c r="Q3" s="183"/>
      <c r="R3"/>
    </row>
    <row r="4" spans="2:26" s="1" customFormat="1" ht="19.5" thickBot="1">
      <c r="B4" s="101" t="str">
        <f>'Data Entry'!A3</f>
        <v>County: Genesee</v>
      </c>
      <c r="C4" s="102"/>
      <c r="D4" s="102"/>
      <c r="E4" s="102"/>
      <c r="F4" s="102"/>
      <c r="G4" s="102"/>
      <c r="H4" s="102"/>
      <c r="I4" s="102"/>
      <c r="J4" s="102"/>
      <c r="K4" s="102"/>
      <c r="L4" s="102"/>
      <c r="M4" s="102"/>
      <c r="N4" s="178" t="str">
        <f>'Data Entry'!C4</f>
        <v>10/1/23 through 9/30/24</v>
      </c>
      <c r="O4" s="179"/>
      <c r="P4" s="179"/>
      <c r="Q4" s="180"/>
      <c r="R4"/>
    </row>
    <row r="5" spans="2:26" s="8" customFormat="1" ht="71.25" customHeight="1">
      <c r="B5" s="99"/>
      <c r="C5" s="168" t="s">
        <v>3</v>
      </c>
      <c r="D5" s="176" t="str">
        <f>'Black or African-American'!$F$1</f>
        <v>Black or African American</v>
      </c>
      <c r="E5" s="177"/>
      <c r="F5" s="176" t="str">
        <f>Hispanic!F1</f>
        <v>Hispanic or Latino</v>
      </c>
      <c r="G5" s="177"/>
      <c r="H5" s="176" t="str">
        <f>Asian!F1</f>
        <v>Asian</v>
      </c>
      <c r="I5" s="177"/>
      <c r="J5" s="176" t="str">
        <f>Hawaiian!F1</f>
        <v>Native Hawaiian or Other Pacific Islanders</v>
      </c>
      <c r="K5" s="177"/>
      <c r="L5" s="176" t="str">
        <f>'Data Entry'!H5</f>
        <v>American Indian or Alaska Native</v>
      </c>
      <c r="M5" s="177"/>
      <c r="N5" s="176" t="str">
        <f>'Data Entry'!I5</f>
        <v>Biracial or Other</v>
      </c>
      <c r="O5" s="177"/>
      <c r="P5" s="176" t="str">
        <f>'Data Entry'!J5</f>
        <v>All Minorities</v>
      </c>
      <c r="Q5" s="184"/>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27565</v>
      </c>
      <c r="D7" s="104">
        <f>'Data Entry'!D6</f>
        <v>11068</v>
      </c>
      <c r="E7" s="105"/>
      <c r="F7" s="106">
        <f>'Data Entry'!E6</f>
        <v>2457</v>
      </c>
      <c r="G7" s="105"/>
      <c r="H7" s="106">
        <f>'Data Entry'!F6</f>
        <v>512</v>
      </c>
      <c r="I7" s="105"/>
      <c r="J7" s="106">
        <f>'Data Entry'!G6</f>
        <v>0</v>
      </c>
      <c r="K7" s="105"/>
      <c r="L7" s="106">
        <f>'Data Entry'!H6</f>
        <v>225</v>
      </c>
      <c r="M7" s="105"/>
      <c r="N7" s="106">
        <f>'Data Entry'!I6</f>
        <v>0</v>
      </c>
      <c r="O7" s="105"/>
      <c r="P7" s="106">
        <f>'Data Entry'!J6</f>
        <v>14262</v>
      </c>
      <c r="Q7" s="107"/>
    </row>
    <row r="8" spans="2:26" s="1" customFormat="1" ht="15" customHeight="1">
      <c r="B8" s="142" t="s">
        <v>8</v>
      </c>
      <c r="C8" s="103">
        <f>'Data Entry'!C7</f>
        <v>179</v>
      </c>
      <c r="D8" s="104">
        <f>'Data Entry'!D7</f>
        <v>221</v>
      </c>
      <c r="E8" s="105">
        <f>'Black or African-American'!$G7</f>
        <v>3.0748794148110314</v>
      </c>
      <c r="F8" s="106">
        <f>'Data Entry'!E7</f>
        <v>5</v>
      </c>
      <c r="G8" s="105" t="str">
        <f>Hispanic!G7</f>
        <v>**</v>
      </c>
      <c r="H8" s="106">
        <f>'Data Entry'!F7</f>
        <v>1</v>
      </c>
      <c r="I8" s="105" t="str">
        <f>Asian!G7</f>
        <v>**</v>
      </c>
      <c r="J8" s="106">
        <f>'Data Entry'!G7</f>
        <v>0</v>
      </c>
      <c r="K8" s="105" t="str">
        <f>Hawaiian!G7</f>
        <v>*</v>
      </c>
      <c r="L8" s="106">
        <f>'Data Entry'!H7</f>
        <v>0</v>
      </c>
      <c r="M8" s="105" t="str">
        <f>'Am Indian'!G7</f>
        <v>*</v>
      </c>
      <c r="N8" s="106">
        <f>'Data Entry'!I7</f>
        <v>0</v>
      </c>
      <c r="O8" s="105" t="str">
        <f>'Other - Mixed'!G7</f>
        <v>*</v>
      </c>
      <c r="P8" s="106">
        <f>'Data Entry'!J7</f>
        <v>227</v>
      </c>
      <c r="Q8" s="107">
        <f>'All Minorities'!G7</f>
        <v>2.4510399553762037</v>
      </c>
      <c r="R8"/>
      <c r="T8" s="1">
        <f>'Black or African-American'!L7</f>
        <v>1</v>
      </c>
      <c r="U8" s="1">
        <f>Hispanic!L7</f>
        <v>20</v>
      </c>
      <c r="V8" s="1">
        <f>Asian!L7</f>
        <v>40</v>
      </c>
      <c r="W8" s="1" t="e">
        <f>Hawaiian!L7</f>
        <v>#VALUE!</v>
      </c>
      <c r="X8" s="1">
        <f>'Am Indian'!L7</f>
        <v>139</v>
      </c>
      <c r="Y8" s="1" t="e">
        <f>'Other - Mixed'!L7</f>
        <v>#VALUE!</v>
      </c>
      <c r="Z8" s="1">
        <f>'All Minorities'!L7</f>
        <v>1</v>
      </c>
    </row>
    <row r="9" spans="2:26" s="1" customFormat="1" ht="15" customHeight="1">
      <c r="B9" s="142" t="s">
        <v>134</v>
      </c>
      <c r="C9" s="103">
        <f>'Data Entry'!C8</f>
        <v>236</v>
      </c>
      <c r="D9" s="108">
        <f>'Data Entry'!D8</f>
        <v>225</v>
      </c>
      <c r="E9" s="109">
        <f>'Black or African-American'!$G8</f>
        <v>0.77220262290052921</v>
      </c>
      <c r="F9" s="110">
        <f>'Data Entry'!E8</f>
        <v>1</v>
      </c>
      <c r="G9" s="109" t="str">
        <f>Hispanic!G8</f>
        <v>**</v>
      </c>
      <c r="H9" s="110">
        <f>'Data Entry'!F8</f>
        <v>0</v>
      </c>
      <c r="I9" s="109" t="str">
        <f>Asian!G8</f>
        <v>**</v>
      </c>
      <c r="J9" s="110">
        <f>'Data Entry'!G8</f>
        <v>0</v>
      </c>
      <c r="K9" s="109" t="str">
        <f>Hawaiian!G8</f>
        <v>*</v>
      </c>
      <c r="L9" s="110">
        <f>'Data Entry'!H8</f>
        <v>0</v>
      </c>
      <c r="M9" s="109" t="str">
        <f>'Am Indian'!G8</f>
        <v>*</v>
      </c>
      <c r="N9" s="110">
        <f>'Data Entry'!I8</f>
        <v>17</v>
      </c>
      <c r="O9" s="109" t="str">
        <f>'Other - Mixed'!G8</f>
        <v>*</v>
      </c>
      <c r="P9" s="110">
        <f>'Data Entry'!J8</f>
        <v>243</v>
      </c>
      <c r="Q9" s="111">
        <f>'All Minorities'!G8</f>
        <v>0.81193533935638018</v>
      </c>
      <c r="R9"/>
      <c r="T9" s="1">
        <f>'Black or African-American'!L8</f>
        <v>1</v>
      </c>
      <c r="U9" s="1">
        <f>Hispanic!L8</f>
        <v>20</v>
      </c>
      <c r="V9" s="1">
        <f>Asian!L8</f>
        <v>20</v>
      </c>
      <c r="W9" s="1">
        <f>Hawaiian!L8</f>
        <v>139</v>
      </c>
      <c r="X9" s="1">
        <f>'Am Indian'!L8</f>
        <v>139</v>
      </c>
      <c r="Y9" s="1">
        <f>'Other - Mixed'!L8</f>
        <v>119</v>
      </c>
      <c r="Z9" s="1">
        <f>'All Minorities'!L8</f>
        <v>1</v>
      </c>
    </row>
    <row r="10" spans="2:26" s="1" customFormat="1" ht="15" customHeight="1">
      <c r="B10" s="142" t="s">
        <v>10</v>
      </c>
      <c r="C10" s="103">
        <f>'Data Entry'!C9</f>
        <v>7</v>
      </c>
      <c r="D10" s="112">
        <f>'Data Entry'!D9</f>
        <v>8</v>
      </c>
      <c r="E10" s="113">
        <f>'Black or African-American'!$G9</f>
        <v>1.1987301587301586</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1</v>
      </c>
      <c r="O10" s="113" t="str">
        <f>'Other - Mixed'!G9</f>
        <v>*</v>
      </c>
      <c r="P10" s="114">
        <f>'Data Entry'!J9</f>
        <v>9</v>
      </c>
      <c r="Q10" s="115">
        <f>'All Minorities'!G9</f>
        <v>1.2486772486772484</v>
      </c>
      <c r="R10"/>
      <c r="T10" s="1">
        <f>'Black or African-American'!L9</f>
        <v>2</v>
      </c>
      <c r="U10" s="1">
        <f>Hispanic!L9</f>
        <v>40</v>
      </c>
      <c r="V10" s="1" t="e">
        <f>Asian!L9</f>
        <v>#VALUE!</v>
      </c>
      <c r="W10" s="1" t="e">
        <f>Hawaiian!L9</f>
        <v>#VALUE!</v>
      </c>
      <c r="X10" s="1" t="e">
        <f>'Am Indian'!L9</f>
        <v>#VALUE!</v>
      </c>
      <c r="Y10" s="1">
        <f>'Other - Mixed'!L9</f>
        <v>139</v>
      </c>
      <c r="Z10" s="1">
        <f>'All Minorities'!L9</f>
        <v>2</v>
      </c>
    </row>
    <row r="11" spans="2:26" s="1" customFormat="1" ht="15" customHeight="1">
      <c r="B11" s="142" t="s">
        <v>11</v>
      </c>
      <c r="C11" s="103">
        <f>'Data Entry'!C10</f>
        <v>43</v>
      </c>
      <c r="D11" s="108">
        <f>'Data Entry'!D10</f>
        <v>83</v>
      </c>
      <c r="E11" s="109">
        <f>'Black or African-American'!$G10</f>
        <v>2.0245994832041343</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9</v>
      </c>
      <c r="O11" s="109" t="str">
        <f>'Other - Mixed'!G10</f>
        <v>*</v>
      </c>
      <c r="P11" s="110">
        <f>'Data Entry'!J10</f>
        <v>92</v>
      </c>
      <c r="Q11" s="111">
        <f>'All Minorities'!G10</f>
        <v>2.077902191597282</v>
      </c>
      <c r="R11"/>
      <c r="T11" s="1">
        <f>'Black or African-American'!L10</f>
        <v>1</v>
      </c>
      <c r="U11" s="1">
        <f>Hispanic!L10</f>
        <v>40</v>
      </c>
      <c r="V11" s="1" t="e">
        <f>Asian!L10</f>
        <v>#VALUE!</v>
      </c>
      <c r="W11" s="1" t="e">
        <f>Hawaiian!L10</f>
        <v>#VALUE!</v>
      </c>
      <c r="X11" s="1" t="e">
        <f>'Am Indian'!L10</f>
        <v>#VALUE!</v>
      </c>
      <c r="Y11" s="1">
        <f>'Other - Mixed'!L10</f>
        <v>119</v>
      </c>
      <c r="Z11" s="1">
        <f>'All Minorities'!L10</f>
        <v>1</v>
      </c>
    </row>
    <row r="12" spans="2:26" s="1" customFormat="1" ht="15" customHeight="1">
      <c r="B12" s="142" t="s">
        <v>95</v>
      </c>
      <c r="C12" s="103">
        <f>'Data Entry'!C11</f>
        <v>118</v>
      </c>
      <c r="D12" s="112">
        <f>'Data Entry'!D11</f>
        <v>130</v>
      </c>
      <c r="E12" s="113">
        <f>'Black or African-American'!$G11</f>
        <v>1.1555555555555557</v>
      </c>
      <c r="F12" s="114">
        <f>'Data Entry'!E11</f>
        <v>1</v>
      </c>
      <c r="G12" s="113" t="str">
        <f>Hispanic!G11</f>
        <v>**</v>
      </c>
      <c r="H12" s="114">
        <f>'Data Entry'!F11</f>
        <v>0</v>
      </c>
      <c r="I12" s="113" t="str">
        <f>Asian!G11</f>
        <v>--</v>
      </c>
      <c r="J12" s="114">
        <f>'Data Entry'!G11</f>
        <v>0</v>
      </c>
      <c r="K12" s="113" t="str">
        <f>Hawaiian!G11</f>
        <v>*</v>
      </c>
      <c r="L12" s="114">
        <f>'Data Entry'!H11</f>
        <v>0</v>
      </c>
      <c r="M12" s="113" t="str">
        <f>'Am Indian'!G11</f>
        <v>*</v>
      </c>
      <c r="N12" s="114">
        <f>'Data Entry'!I11</f>
        <v>12</v>
      </c>
      <c r="O12" s="113" t="str">
        <f>'Other - Mixed'!G11</f>
        <v>*</v>
      </c>
      <c r="P12" s="114">
        <f>'Data Entry'!J11</f>
        <v>143</v>
      </c>
      <c r="Q12" s="115">
        <f>'All Minorities'!G11</f>
        <v>1.176954732510288</v>
      </c>
      <c r="R12"/>
      <c r="T12" s="1">
        <f>'Black or African-American'!L11</f>
        <v>2</v>
      </c>
      <c r="U12" s="1">
        <f>Hispanic!L11</f>
        <v>40</v>
      </c>
      <c r="V12" s="1" t="e">
        <f>Asian!L11</f>
        <v>#VALUE!</v>
      </c>
      <c r="W12" s="1" t="e">
        <f>Hawaiian!L11</f>
        <v>#VALUE!</v>
      </c>
      <c r="X12" s="1" t="e">
        <f>'Am Indian'!L11</f>
        <v>#VALUE!</v>
      </c>
      <c r="Y12" s="1">
        <f>'Other - Mixed'!L11</f>
        <v>139</v>
      </c>
      <c r="Z12" s="1">
        <f>'All Minorities'!L11</f>
        <v>2</v>
      </c>
    </row>
    <row r="13" spans="2:26" s="1" customFormat="1" ht="15" customHeight="1">
      <c r="B13" s="142" t="s">
        <v>13</v>
      </c>
      <c r="C13" s="103">
        <f>'Data Entry'!C12</f>
        <v>62</v>
      </c>
      <c r="D13" s="108">
        <f>'Data Entry'!D12</f>
        <v>68</v>
      </c>
      <c r="E13" s="109">
        <f>'Black or African-American'!$G12</f>
        <v>0.99553349875930508</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4</v>
      </c>
      <c r="O13" s="109" t="str">
        <f>'Other - Mixed'!G12</f>
        <v>*</v>
      </c>
      <c r="P13" s="110">
        <f>'Data Entry'!J12</f>
        <v>72</v>
      </c>
      <c r="Q13" s="111">
        <f>'All Minorities'!G12</f>
        <v>0.95826753891270022</v>
      </c>
      <c r="R13"/>
      <c r="T13" s="1">
        <f>'Black or African-American'!L12</f>
        <v>2</v>
      </c>
      <c r="U13" s="1">
        <f>Hispanic!L12</f>
        <v>40</v>
      </c>
      <c r="V13" s="1" t="e">
        <f>Asian!L12</f>
        <v>#VALUE!</v>
      </c>
      <c r="W13" s="1" t="e">
        <f>Hawaiian!L12</f>
        <v>#VALUE!</v>
      </c>
      <c r="X13" s="1" t="e">
        <f>'Am Indian'!L12</f>
        <v>#VALUE!</v>
      </c>
      <c r="Y13" s="1">
        <f>'Other - Mixed'!L12</f>
        <v>139</v>
      </c>
      <c r="Z13" s="1">
        <f>'All Minorities'!L12</f>
        <v>2</v>
      </c>
    </row>
    <row r="14" spans="2:26" s="1" customFormat="1" ht="15" customHeight="1">
      <c r="B14" s="142" t="s">
        <v>133</v>
      </c>
      <c r="C14" s="103">
        <f>'Data Entry'!C13</f>
        <v>90</v>
      </c>
      <c r="D14" s="112">
        <f>'Data Entry'!D13</f>
        <v>61</v>
      </c>
      <c r="E14" s="113">
        <f>'Black or African-American'!$G13</f>
        <v>0.61797385620915035</v>
      </c>
      <c r="F14" s="114">
        <f>'Data Entry'!E13</f>
        <v>1</v>
      </c>
      <c r="G14" s="113" t="str">
        <f>Hispanic!G13</f>
        <v>--</v>
      </c>
      <c r="H14" s="114">
        <f>'Data Entry'!F13</f>
        <v>0</v>
      </c>
      <c r="I14" s="113" t="str">
        <f>Asian!G13</f>
        <v>--</v>
      </c>
      <c r="J14" s="114">
        <f>'Data Entry'!G13</f>
        <v>0</v>
      </c>
      <c r="K14" s="113" t="str">
        <f>Hawaiian!G13</f>
        <v>*</v>
      </c>
      <c r="L14" s="114">
        <f>'Data Entry'!H13</f>
        <v>0</v>
      </c>
      <c r="M14" s="113" t="str">
        <f>'Am Indian'!G13</f>
        <v>*</v>
      </c>
      <c r="N14" s="114">
        <f>'Data Entry'!I13</f>
        <v>4</v>
      </c>
      <c r="O14" s="113" t="str">
        <f>'Other - Mixed'!G13</f>
        <v>*</v>
      </c>
      <c r="P14" s="114">
        <f>'Data Entry'!J13</f>
        <v>66</v>
      </c>
      <c r="Q14" s="115">
        <f>'All Minorities'!G13</f>
        <v>0.63148148148148153</v>
      </c>
      <c r="R14"/>
      <c r="T14" s="1">
        <f>'Black or African-American'!L13</f>
        <v>1</v>
      </c>
      <c r="U14" s="1" t="e">
        <f>Hispanic!L13</f>
        <v>#DIV/0!</v>
      </c>
      <c r="V14" s="1" t="e">
        <f>Asian!L13</f>
        <v>#VALUE!</v>
      </c>
      <c r="W14" s="1" t="e">
        <f>Hawaiian!L13</f>
        <v>#VALUE!</v>
      </c>
      <c r="X14" s="1" t="e">
        <f>'Am Indian'!L13</f>
        <v>#VALUE!</v>
      </c>
      <c r="Y14" s="1">
        <f>'Other - Mixed'!L13</f>
        <v>139</v>
      </c>
      <c r="Z14" s="1">
        <f>'All Minorities'!L13</f>
        <v>1</v>
      </c>
    </row>
    <row r="15" spans="2:26" s="1" customFormat="1" ht="33">
      <c r="B15" s="144" t="s">
        <v>123</v>
      </c>
      <c r="C15" s="103">
        <f>'Data Entry'!C14</f>
        <v>8</v>
      </c>
      <c r="D15" s="108">
        <f>'Data Entry'!D14</f>
        <v>32</v>
      </c>
      <c r="E15" s="109">
        <f>'Black or African-American'!$G14</f>
        <v>3.6470588235294112</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2</v>
      </c>
      <c r="O15" s="109" t="str">
        <f>'Other - Mixed'!G14</f>
        <v>*</v>
      </c>
      <c r="P15" s="110">
        <f>'Data Entry'!J14</f>
        <v>34</v>
      </c>
      <c r="Q15" s="111">
        <f>'All Minorities'!G14</f>
        <v>3.6597222222222219</v>
      </c>
      <c r="R15"/>
      <c r="T15" s="1">
        <f>'Black or African-American'!L14</f>
        <v>1</v>
      </c>
      <c r="U15" s="1" t="e">
        <f>Hispanic!L14</f>
        <v>#VALUE!</v>
      </c>
      <c r="V15" s="1" t="e">
        <f>Asian!L14</f>
        <v>#VALUE!</v>
      </c>
      <c r="W15" s="1" t="e">
        <f>Hawaiian!L14</f>
        <v>#VALUE!</v>
      </c>
      <c r="X15" s="1" t="e">
        <f>'Am Indian'!L14</f>
        <v>#VALUE!</v>
      </c>
      <c r="Y15" s="1">
        <f>'Other - Mixed'!L14</f>
        <v>119</v>
      </c>
      <c r="Z15" s="1">
        <f>'All Minorities'!L14</f>
        <v>1</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Genesee</v>
      </c>
    </row>
    <row r="6" spans="1:12">
      <c r="A6" s="135" t="str">
        <f>CONCATENATE("Percentage of Minorities at Stages of the Juvenile Justice System, ", A5, " 2024")</f>
        <v>Percentage of Minorities at Stages of the Juvenile Justice System, County: Genesee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1.9327583789089888</v>
      </c>
    </row>
    <row r="8" spans="1:12" ht="25.5" customHeight="1">
      <c r="A8" s="151" t="str">
        <f>CONCATENATE("Confinement, total N=", 'Data Entry'!B14)</f>
        <v>Confinement, total N=42</v>
      </c>
      <c r="B8" s="150">
        <f>'Data Entry'!D14/'Data Entry'!B14</f>
        <v>0.76190476190476186</v>
      </c>
      <c r="C8" s="150">
        <f>'Data Entry'!E14/'Data Entry'!B14</f>
        <v>0</v>
      </c>
      <c r="D8" s="150">
        <f>'Data Entry'!F14/'Data Entry'!B14</f>
        <v>0</v>
      </c>
      <c r="E8" s="150">
        <f>'Data Entry'!G14/'Data Entry'!B14</f>
        <v>0</v>
      </c>
      <c r="F8" s="150">
        <f>'Data Entry'!H14/'Data Entry'!B14</f>
        <v>0</v>
      </c>
      <c r="G8" s="150">
        <f>'Data Entry'!I14/'Data Entry'!B14</f>
        <v>4.7619047619047616E-2</v>
      </c>
      <c r="H8" s="150">
        <f>SUM(D8:G8)/'Data Entry'!B14</f>
        <v>1.1337868480725624E-3</v>
      </c>
      <c r="I8" s="150">
        <f>'Data Entry'!C14/'Data Entry'!B14</f>
        <v>0.19047619047619047</v>
      </c>
      <c r="K8" s="96" t="str">
        <f>A8</f>
        <v>Confinement, total N=42</v>
      </c>
      <c r="L8">
        <f>I14/(SUM(B14:G14))</f>
        <v>1.9327583789089888</v>
      </c>
    </row>
    <row r="9" spans="1:12">
      <c r="A9" s="128" t="str">
        <f>CONCATENATE("Delinquent Findings, total N=", 'Data Entry'!B12)</f>
        <v>Delinquent Findings, total N=134</v>
      </c>
      <c r="B9" s="150">
        <f>'Data Entry'!D12/'Data Entry'!B12</f>
        <v>0.5074626865671642</v>
      </c>
      <c r="C9" s="150">
        <f>'Data Entry'!E12/'Data Entry'!B12</f>
        <v>0</v>
      </c>
      <c r="D9" s="150">
        <f>'Data Entry'!F12/'Data Entry'!B12</f>
        <v>0</v>
      </c>
      <c r="E9" s="150">
        <f>'Data Entry'!G12/'Data Entry'!B12</f>
        <v>0</v>
      </c>
      <c r="F9" s="150">
        <f>'Data Entry'!H12/'Data Entry'!B12</f>
        <v>0</v>
      </c>
      <c r="G9" s="150">
        <f>'Data Entry'!I12/'Data Entry'!B12</f>
        <v>2.9850746268656716E-2</v>
      </c>
      <c r="H9" s="150">
        <f>SUM(D9:G9)/'Data Entry'!B12</f>
        <v>2.227667631989307E-4</v>
      </c>
      <c r="I9" s="150">
        <f>'Data Entry'!C12/'Data Entry'!B12</f>
        <v>0.46268656716417911</v>
      </c>
      <c r="K9" s="96" t="str">
        <f t="shared" si="0"/>
        <v>Delinquent Findings, total N=134</v>
      </c>
      <c r="L9">
        <f>I14/(SUM(B14:G14))</f>
        <v>1.9327583789089888</v>
      </c>
    </row>
    <row r="10" spans="1:12">
      <c r="A10" s="128" t="str">
        <f>CONCATENATE("Petitions, total N=", 'Data Entry'!B11)</f>
        <v>Petitions, total N=261</v>
      </c>
      <c r="B10" s="150">
        <f>'Data Entry'!D11/'Data Entry'!B11</f>
        <v>0.49808429118773945</v>
      </c>
      <c r="C10" s="150">
        <f>'Data Entry'!E11/'Data Entry'!B11</f>
        <v>3.8314176245210726E-3</v>
      </c>
      <c r="D10" s="150">
        <f>'Data Entry'!F11/'Data Entry'!B11</f>
        <v>0</v>
      </c>
      <c r="E10" s="150">
        <f>'Data Entry'!G11/'Data Entry'!B11</f>
        <v>0</v>
      </c>
      <c r="F10" s="150">
        <f>'Data Entry'!H11/'Data Entry'!B11</f>
        <v>0</v>
      </c>
      <c r="G10" s="150">
        <f>'Data Entry'!I11/'Data Entry'!B11</f>
        <v>4.5977011494252873E-2</v>
      </c>
      <c r="H10" s="150">
        <f>SUM(D10:G10)/'Data Entry'!B11</f>
        <v>1.7615713216188839E-4</v>
      </c>
      <c r="I10" s="150">
        <f>'Data Entry'!C11/'Data Entry'!B11</f>
        <v>0.45210727969348657</v>
      </c>
      <c r="K10" s="96" t="str">
        <f t="shared" si="0"/>
        <v>Petitions, total N=261</v>
      </c>
      <c r="L10">
        <f>I14/(SUM(B14:G14))</f>
        <v>1.9327583789089888</v>
      </c>
    </row>
    <row r="11" spans="1:12">
      <c r="A11" s="128" t="str">
        <f>CONCATENATE("Detentions, total N=", 'Data Entry'!B10)</f>
        <v>Detentions, total N=136</v>
      </c>
      <c r="B11" s="150">
        <f>'Data Entry'!D10/'Data Entry'!B10</f>
        <v>0.61029411764705888</v>
      </c>
      <c r="C11" s="150">
        <f>'Data Entry'!E10/'Data Entry'!B10</f>
        <v>0</v>
      </c>
      <c r="D11" s="150">
        <f>'Data Entry'!F10/'Data Entry'!B10</f>
        <v>0</v>
      </c>
      <c r="E11" s="150">
        <f>'Data Entry'!G10/'Data Entry'!B10</f>
        <v>0</v>
      </c>
      <c r="F11" s="150">
        <f>'Data Entry'!H10/'Data Entry'!B10</f>
        <v>0</v>
      </c>
      <c r="G11" s="150">
        <f>'Data Entry'!I10/'Data Entry'!B10</f>
        <v>6.6176470588235295E-2</v>
      </c>
      <c r="H11" s="150">
        <f>SUM(D11:G11)/'Data Entry'!B10</f>
        <v>4.8659169550173013E-4</v>
      </c>
      <c r="I11" s="150">
        <f>'Data Entry'!C10/'Data Entry'!B10</f>
        <v>0.31617647058823528</v>
      </c>
      <c r="K11" s="96" t="str">
        <f t="shared" si="0"/>
        <v>Detentions, total N=136</v>
      </c>
      <c r="L11">
        <f>I14/(SUM(B14:G14))</f>
        <v>1.9327583789089888</v>
      </c>
    </row>
    <row r="12" spans="1:12">
      <c r="A12" s="128" t="str">
        <f>CONCATENATE("Referrals, total N=", 'Data Entry'!B8)</f>
        <v>Referrals, total N=485</v>
      </c>
      <c r="B12" s="150">
        <f>'Data Entry'!D8/'Data Entry'!B8</f>
        <v>0.46391752577319589</v>
      </c>
      <c r="C12" s="150">
        <f>'Data Entry'!E8/'Data Entry'!B8</f>
        <v>2.0618556701030928E-3</v>
      </c>
      <c r="D12" s="150">
        <f>'Data Entry'!F8/'Data Entry'!B8</f>
        <v>0</v>
      </c>
      <c r="E12" s="150">
        <f>'Data Entry'!G8/'Data Entry'!B8</f>
        <v>0</v>
      </c>
      <c r="F12" s="150">
        <f>'Data Entry'!H8/'Data Entry'!B8</f>
        <v>0</v>
      </c>
      <c r="G12" s="150">
        <f>'Data Entry'!I8/'Data Entry'!B8</f>
        <v>3.5051546391752578E-2</v>
      </c>
      <c r="H12" s="150">
        <f>SUM(D12:G12)/'Data Entry'!B8</f>
        <v>7.227122967371665E-5</v>
      </c>
      <c r="I12" s="150">
        <f>'Data Entry'!C8/'Data Entry'!B8</f>
        <v>0.48659793814432989</v>
      </c>
      <c r="K12" s="96" t="str">
        <f t="shared" si="0"/>
        <v>Referrals, total N=485</v>
      </c>
      <c r="L12">
        <f>I14/(SUM(B14:G14))</f>
        <v>1.9327583789089888</v>
      </c>
    </row>
    <row r="13" spans="1:12">
      <c r="A13" s="128" t="str">
        <f>CONCATENATE("Arrests, total N=", 'Data Entry'!B7)</f>
        <v>Arrests, total N=413</v>
      </c>
      <c r="B13" s="150">
        <f>'Data Entry'!D7/'Data Entry'!B7</f>
        <v>0.53510895883777243</v>
      </c>
      <c r="C13" s="150">
        <f>'Data Entry'!E7/'Data Entry'!B7</f>
        <v>1.2106537530266344E-2</v>
      </c>
      <c r="D13" s="150">
        <f>'Data Entry'!F7/'Data Entry'!B7</f>
        <v>2.4213075060532689E-3</v>
      </c>
      <c r="E13" s="150">
        <f>'Data Entry'!G7/'Data Entry'!B7</f>
        <v>0</v>
      </c>
      <c r="F13" s="150">
        <f>'Data Entry'!H7/'Data Entry'!B7</f>
        <v>0</v>
      </c>
      <c r="G13" s="150">
        <f>'Data Entry'!I7/'Data Entry'!B7</f>
        <v>0</v>
      </c>
      <c r="H13" s="150">
        <f>SUM(D13:G13)/'Data Entry'!B7</f>
        <v>5.8627300388699008E-6</v>
      </c>
      <c r="I13" s="150">
        <f>'Data Entry'!C7/'Data Entry'!B7</f>
        <v>0.43341404358353514</v>
      </c>
      <c r="K13" s="96" t="str">
        <f t="shared" si="0"/>
        <v>Arrests, total N=413</v>
      </c>
      <c r="L13">
        <f>I14/(SUM(B14:G14))</f>
        <v>1.9327583789089888</v>
      </c>
    </row>
    <row r="14" spans="1:12">
      <c r="A14" s="128" t="str">
        <f>CONCATENATE("Population, total N=", 'Data Entry'!B6)</f>
        <v>Population, total N=41827</v>
      </c>
      <c r="B14" s="150">
        <f>'Data Entry'!D6/'Data Entry'!B6</f>
        <v>0.26461376622755639</v>
      </c>
      <c r="C14" s="150">
        <f>'Data Entry'!E6/'Data Entry'!B6</f>
        <v>5.8741960934324718E-2</v>
      </c>
      <c r="D14" s="150">
        <f>'Data Entry'!F6/'Data Entry'!B6</f>
        <v>1.224089702823535E-2</v>
      </c>
      <c r="E14" s="150">
        <f>'Data Entry'!G6/'Data Entry'!B6</f>
        <v>0</v>
      </c>
      <c r="F14" s="150">
        <f>'Data Entry'!H6/'Data Entry'!B6</f>
        <v>5.3793004518612377E-3</v>
      </c>
      <c r="G14" s="150">
        <f>'Data Entry'!I6/'Data Entry'!B6</f>
        <v>0</v>
      </c>
      <c r="H14" s="150">
        <f>SUM(D14:G14)/'Data Entry'!B6</f>
        <v>4.2126371674030143E-7</v>
      </c>
      <c r="I14" s="150">
        <f>'Data Entry'!C6/'Data Entry'!B6</f>
        <v>0.65902407535802232</v>
      </c>
      <c r="K14" s="96" t="str">
        <f t="shared" si="0"/>
        <v>Population, total N=41827</v>
      </c>
      <c r="L14">
        <f>I14/(SUM(B14:G14))</f>
        <v>1.9327583789089888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3" t="s">
        <v>121</v>
      </c>
      <c r="C2" s="174"/>
      <c r="D2" s="174"/>
      <c r="E2" s="174"/>
      <c r="F2" s="174"/>
      <c r="G2" s="174"/>
      <c r="H2" s="174"/>
      <c r="I2" s="174"/>
      <c r="J2" s="174"/>
      <c r="K2" s="175"/>
    </row>
    <row r="3" spans="2:30" s="1" customFormat="1" ht="19.5" thickTop="1">
      <c r="B3" s="97" t="str">
        <f>'Data Entry'!A2</f>
        <v>State: Michigan</v>
      </c>
      <c r="C3" s="95"/>
      <c r="D3" s="95"/>
      <c r="H3" s="188" t="str">
        <f>'Data Entry'!C3</f>
        <v xml:space="preserve">Reporting Period:  </v>
      </c>
      <c r="I3" s="189"/>
      <c r="J3" s="189"/>
      <c r="K3" s="190"/>
    </row>
    <row r="4" spans="2:30" s="1" customFormat="1" ht="19.5" thickBot="1">
      <c r="B4" s="101" t="str">
        <f>'Data Entry'!A3</f>
        <v>County: Genesee</v>
      </c>
      <c r="C4" s="102"/>
      <c r="D4" s="102"/>
      <c r="E4" s="120"/>
      <c r="F4" s="120"/>
      <c r="G4" s="120"/>
      <c r="H4" s="178" t="str">
        <f>'Data Entry'!C4</f>
        <v>10/1/23 through 9/30/24</v>
      </c>
      <c r="I4" s="191"/>
      <c r="J4" s="191"/>
      <c r="K4" s="192"/>
    </row>
    <row r="5" spans="2:30" s="8" customFormat="1" ht="69" customHeight="1">
      <c r="B5" s="99"/>
      <c r="C5" s="100" t="s">
        <v>3</v>
      </c>
      <c r="D5" s="185" t="str">
        <f>'Black or African-American'!$F$1</f>
        <v>Black or African American</v>
      </c>
      <c r="E5" s="186"/>
      <c r="F5" s="185" t="str">
        <f>Hispanic!F1</f>
        <v>Hispanic or Latino</v>
      </c>
      <c r="G5" s="186"/>
      <c r="H5" s="185" t="str">
        <f>Asian!F1</f>
        <v>Asian</v>
      </c>
      <c r="I5" s="186"/>
      <c r="J5" s="185" t="str">
        <f>'Data Entry'!J5</f>
        <v>All Minorities</v>
      </c>
      <c r="K5" s="187"/>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27565</v>
      </c>
      <c r="D7" s="104">
        <f>'Data Entry'!D6</f>
        <v>11068</v>
      </c>
      <c r="E7" s="105"/>
      <c r="F7" s="106">
        <f>'Data Entry'!E6</f>
        <v>2457</v>
      </c>
      <c r="G7" s="105"/>
      <c r="H7" s="106">
        <f>'Data Entry'!F6</f>
        <v>512</v>
      </c>
      <c r="I7" s="105"/>
      <c r="J7" s="106">
        <f>'Data Entry'!J6</f>
        <v>14262</v>
      </c>
      <c r="K7" s="107"/>
    </row>
    <row r="8" spans="2:30" s="1" customFormat="1" ht="15" customHeight="1">
      <c r="B8" s="121" t="s">
        <v>8</v>
      </c>
      <c r="C8" s="103">
        <f>'Data Entry'!C7</f>
        <v>179</v>
      </c>
      <c r="D8" s="104">
        <f>'Data Entry'!D7</f>
        <v>221</v>
      </c>
      <c r="E8" s="105">
        <f>'Black or African-American'!$G7</f>
        <v>3.0748794148110314</v>
      </c>
      <c r="F8" s="106">
        <f>'Data Entry'!E7</f>
        <v>5</v>
      </c>
      <c r="G8" s="105" t="str">
        <f>Hispanic!G7</f>
        <v>**</v>
      </c>
      <c r="H8" s="106">
        <f>'Data Entry'!F7</f>
        <v>1</v>
      </c>
      <c r="I8" s="105" t="str">
        <f>Asian!G7</f>
        <v>**</v>
      </c>
      <c r="J8" s="106">
        <f>'Data Entry'!J7</f>
        <v>227</v>
      </c>
      <c r="K8" s="107">
        <f>'All Minorities'!G7</f>
        <v>2.4510399553762037</v>
      </c>
      <c r="L8"/>
      <c r="N8" s="1">
        <f>'Black or African-American'!L7</f>
        <v>1</v>
      </c>
      <c r="O8" s="1">
        <f>Hispanic!L7</f>
        <v>20</v>
      </c>
      <c r="P8" s="1">
        <f>Asian!L7</f>
        <v>40</v>
      </c>
      <c r="Q8" s="1" t="e">
        <f>Hawaiian!L7</f>
        <v>#VALUE!</v>
      </c>
      <c r="R8" s="1">
        <f>'Am Indian'!L7</f>
        <v>139</v>
      </c>
      <c r="S8" s="1" t="e">
        <f>'Other - Mixed'!L7</f>
        <v>#VALUE!</v>
      </c>
      <c r="T8" s="1">
        <f>'All Minorities'!L7</f>
        <v>1</v>
      </c>
    </row>
    <row r="9" spans="2:30" s="1" customFormat="1" ht="15" customHeight="1">
      <c r="B9" s="121" t="s">
        <v>134</v>
      </c>
      <c r="C9" s="103">
        <f>'Data Entry'!C8</f>
        <v>236</v>
      </c>
      <c r="D9" s="108">
        <f>'Data Entry'!D8</f>
        <v>225</v>
      </c>
      <c r="E9" s="109">
        <f>'Black or African-American'!$G8</f>
        <v>0.77220262290052921</v>
      </c>
      <c r="F9" s="110">
        <f>'Data Entry'!E8</f>
        <v>1</v>
      </c>
      <c r="G9" s="109" t="str">
        <f>Hispanic!G8</f>
        <v>**</v>
      </c>
      <c r="H9" s="110">
        <f>'Data Entry'!F8</f>
        <v>0</v>
      </c>
      <c r="I9" s="109" t="str">
        <f>Asian!G8</f>
        <v>**</v>
      </c>
      <c r="J9" s="110">
        <f>'Data Entry'!J8</f>
        <v>243</v>
      </c>
      <c r="K9" s="111">
        <f>'All Minorities'!G8</f>
        <v>0.81193533935638018</v>
      </c>
      <c r="L9"/>
      <c r="N9" s="1">
        <f>'Black or African-American'!L8</f>
        <v>1</v>
      </c>
      <c r="O9" s="1">
        <f>Hispanic!L8</f>
        <v>20</v>
      </c>
      <c r="P9" s="1">
        <f>Asian!L8</f>
        <v>20</v>
      </c>
      <c r="Q9" s="1">
        <f>Hawaiian!L8</f>
        <v>139</v>
      </c>
      <c r="R9" s="1">
        <f>'Am Indian'!L8</f>
        <v>139</v>
      </c>
      <c r="S9" s="1">
        <f>'Other - Mixed'!L8</f>
        <v>119</v>
      </c>
      <c r="T9" s="1">
        <f>'All Minorities'!L8</f>
        <v>1</v>
      </c>
    </row>
    <row r="10" spans="2:30" s="1" customFormat="1" ht="15" customHeight="1">
      <c r="B10" s="121" t="s">
        <v>10</v>
      </c>
      <c r="C10" s="103">
        <f>'Data Entry'!C9</f>
        <v>7</v>
      </c>
      <c r="D10" s="112">
        <f>'Data Entry'!D9</f>
        <v>8</v>
      </c>
      <c r="E10" s="113">
        <f>'Black or African-American'!$G9</f>
        <v>1.1987301587301586</v>
      </c>
      <c r="F10" s="114">
        <f>'Data Entry'!E9</f>
        <v>0</v>
      </c>
      <c r="G10" s="113" t="str">
        <f>Hispanic!G9</f>
        <v>**</v>
      </c>
      <c r="H10" s="114">
        <f>'Data Entry'!F9</f>
        <v>0</v>
      </c>
      <c r="I10" s="113" t="str">
        <f>Asian!G9</f>
        <v>--</v>
      </c>
      <c r="J10" s="114">
        <f>'Data Entry'!J9</f>
        <v>9</v>
      </c>
      <c r="K10" s="115">
        <f>'All Minorities'!G9</f>
        <v>1.2486772486772484</v>
      </c>
      <c r="L10"/>
      <c r="N10" s="1">
        <f>'Black or African-American'!L9</f>
        <v>2</v>
      </c>
      <c r="O10" s="1">
        <f>Hispanic!L9</f>
        <v>40</v>
      </c>
      <c r="P10" s="1" t="e">
        <f>Asian!L9</f>
        <v>#VALUE!</v>
      </c>
      <c r="Q10" s="1" t="e">
        <f>Hawaiian!L9</f>
        <v>#VALUE!</v>
      </c>
      <c r="R10" s="1" t="e">
        <f>'Am Indian'!L9</f>
        <v>#VALUE!</v>
      </c>
      <c r="S10" s="1">
        <f>'Other - Mixed'!L9</f>
        <v>139</v>
      </c>
      <c r="T10" s="1">
        <f>'All Minorities'!L9</f>
        <v>2</v>
      </c>
    </row>
    <row r="11" spans="2:30" s="1" customFormat="1" ht="15" customHeight="1">
      <c r="B11" s="121" t="s">
        <v>11</v>
      </c>
      <c r="C11" s="103">
        <f>'Data Entry'!C10</f>
        <v>43</v>
      </c>
      <c r="D11" s="108">
        <f>'Data Entry'!D10</f>
        <v>83</v>
      </c>
      <c r="E11" s="109">
        <f>'Black or African-American'!$G10</f>
        <v>2.0245994832041343</v>
      </c>
      <c r="F11" s="110">
        <f>'Data Entry'!E10</f>
        <v>0</v>
      </c>
      <c r="G11" s="109" t="str">
        <f>Hispanic!G10</f>
        <v>**</v>
      </c>
      <c r="H11" s="110">
        <f>'Data Entry'!F10</f>
        <v>0</v>
      </c>
      <c r="I11" s="109" t="str">
        <f>Asian!G10</f>
        <v>--</v>
      </c>
      <c r="J11" s="110">
        <f>'Data Entry'!J10</f>
        <v>92</v>
      </c>
      <c r="K11" s="111">
        <f>'All Minorities'!G10</f>
        <v>2.077902191597282</v>
      </c>
      <c r="L11"/>
      <c r="N11" s="1">
        <f>'Black or African-American'!L10</f>
        <v>1</v>
      </c>
      <c r="O11" s="1">
        <f>Hispanic!L10</f>
        <v>40</v>
      </c>
      <c r="P11" s="1" t="e">
        <f>Asian!L10</f>
        <v>#VALUE!</v>
      </c>
      <c r="Q11" s="1" t="e">
        <f>Hawaiian!L10</f>
        <v>#VALUE!</v>
      </c>
      <c r="R11" s="1" t="e">
        <f>'Am Indian'!L10</f>
        <v>#VALUE!</v>
      </c>
      <c r="S11" s="1">
        <f>'Other - Mixed'!L10</f>
        <v>119</v>
      </c>
      <c r="T11" s="1">
        <f>'All Minorities'!L10</f>
        <v>1</v>
      </c>
    </row>
    <row r="12" spans="2:30" s="1" customFormat="1" ht="15" customHeight="1">
      <c r="B12" s="121" t="s">
        <v>95</v>
      </c>
      <c r="C12" s="103">
        <f>'Data Entry'!C11</f>
        <v>118</v>
      </c>
      <c r="D12" s="112">
        <f>'Data Entry'!D11</f>
        <v>130</v>
      </c>
      <c r="E12" s="113">
        <f>'Black or African-American'!$G11</f>
        <v>1.1555555555555557</v>
      </c>
      <c r="F12" s="114">
        <f>'Data Entry'!E11</f>
        <v>1</v>
      </c>
      <c r="G12" s="113" t="str">
        <f>Hispanic!G11</f>
        <v>**</v>
      </c>
      <c r="H12" s="114">
        <f>'Data Entry'!F11</f>
        <v>0</v>
      </c>
      <c r="I12" s="113" t="str">
        <f>Asian!G11</f>
        <v>--</v>
      </c>
      <c r="J12" s="114">
        <f>'Data Entry'!J11</f>
        <v>143</v>
      </c>
      <c r="K12" s="115">
        <f>'All Minorities'!G11</f>
        <v>1.176954732510288</v>
      </c>
      <c r="L12"/>
      <c r="N12" s="1">
        <f>'Black or African-American'!L11</f>
        <v>2</v>
      </c>
      <c r="O12" s="1">
        <f>Hispanic!L11</f>
        <v>40</v>
      </c>
      <c r="P12" s="1" t="e">
        <f>Asian!L11</f>
        <v>#VALUE!</v>
      </c>
      <c r="Q12" s="1" t="e">
        <f>Hawaiian!L11</f>
        <v>#VALUE!</v>
      </c>
      <c r="R12" s="1" t="e">
        <f>'Am Indian'!L11</f>
        <v>#VALUE!</v>
      </c>
      <c r="S12" s="1">
        <f>'Other - Mixed'!L11</f>
        <v>139</v>
      </c>
      <c r="T12" s="1">
        <f>'All Minorities'!L11</f>
        <v>2</v>
      </c>
    </row>
    <row r="13" spans="2:30" s="1" customFormat="1" ht="15" customHeight="1">
      <c r="B13" s="121" t="s">
        <v>13</v>
      </c>
      <c r="C13" s="103">
        <f>'Data Entry'!C12</f>
        <v>62</v>
      </c>
      <c r="D13" s="108">
        <f>'Data Entry'!D12</f>
        <v>68</v>
      </c>
      <c r="E13" s="109">
        <f>'Black or African-American'!$G12</f>
        <v>0.99553349875930508</v>
      </c>
      <c r="F13" s="110">
        <f>'Data Entry'!E12</f>
        <v>0</v>
      </c>
      <c r="G13" s="109" t="str">
        <f>Hispanic!G12</f>
        <v>**</v>
      </c>
      <c r="H13" s="110">
        <f>'Data Entry'!F12</f>
        <v>0</v>
      </c>
      <c r="I13" s="109" t="str">
        <f>Asian!G12</f>
        <v>--</v>
      </c>
      <c r="J13" s="110">
        <f>'Data Entry'!J12</f>
        <v>72</v>
      </c>
      <c r="K13" s="111">
        <f>'All Minorities'!G12</f>
        <v>0.95826753891270022</v>
      </c>
      <c r="L13"/>
      <c r="N13" s="1">
        <f>'Black or African-American'!L12</f>
        <v>2</v>
      </c>
      <c r="O13" s="1">
        <f>Hispanic!L12</f>
        <v>40</v>
      </c>
      <c r="P13" s="1" t="e">
        <f>Asian!L12</f>
        <v>#VALUE!</v>
      </c>
      <c r="Q13" s="1" t="e">
        <f>Hawaiian!L12</f>
        <v>#VALUE!</v>
      </c>
      <c r="R13" s="1" t="e">
        <f>'Am Indian'!L12</f>
        <v>#VALUE!</v>
      </c>
      <c r="S13" s="1">
        <f>'Other - Mixed'!L12</f>
        <v>139</v>
      </c>
      <c r="T13" s="1">
        <f>'All Minorities'!L12</f>
        <v>2</v>
      </c>
      <c r="W13" s="8"/>
      <c r="X13" s="8"/>
      <c r="Y13" s="8"/>
      <c r="Z13" s="8"/>
      <c r="AA13" s="8"/>
      <c r="AB13" s="8"/>
      <c r="AC13" s="8"/>
      <c r="AD13" s="8"/>
    </row>
    <row r="14" spans="2:30" s="1" customFormat="1" ht="15" customHeight="1">
      <c r="B14" s="121" t="s">
        <v>14</v>
      </c>
      <c r="C14" s="103">
        <f>'Data Entry'!C13</f>
        <v>90</v>
      </c>
      <c r="D14" s="112">
        <f>'Data Entry'!D13</f>
        <v>61</v>
      </c>
      <c r="E14" s="113">
        <f>'Black or African-American'!$G13</f>
        <v>0.61797385620915035</v>
      </c>
      <c r="F14" s="114">
        <f>'Data Entry'!E13</f>
        <v>1</v>
      </c>
      <c r="G14" s="113" t="str">
        <f>Hispanic!G13</f>
        <v>--</v>
      </c>
      <c r="H14" s="114">
        <f>'Data Entry'!F13</f>
        <v>0</v>
      </c>
      <c r="I14" s="113" t="str">
        <f>Asian!G13</f>
        <v>--</v>
      </c>
      <c r="J14" s="114">
        <f>'Data Entry'!J13</f>
        <v>66</v>
      </c>
      <c r="K14" s="115">
        <f>'All Minorities'!G13</f>
        <v>0.63148148148148153</v>
      </c>
      <c r="L14"/>
      <c r="N14" s="1">
        <f>'Black or African-American'!L13</f>
        <v>1</v>
      </c>
      <c r="O14" s="1" t="e">
        <f>Hispanic!L13</f>
        <v>#DIV/0!</v>
      </c>
      <c r="P14" s="1" t="e">
        <f>Asian!L13</f>
        <v>#VALUE!</v>
      </c>
      <c r="Q14" s="1" t="e">
        <f>Hawaiian!L13</f>
        <v>#VALUE!</v>
      </c>
      <c r="R14" s="1" t="e">
        <f>'Am Indian'!L13</f>
        <v>#VALUE!</v>
      </c>
      <c r="S14" s="1">
        <f>'Other - Mixed'!L13</f>
        <v>139</v>
      </c>
      <c r="T14" s="1">
        <f>'All Minorities'!L13</f>
        <v>1</v>
      </c>
      <c r="W14" s="8"/>
      <c r="X14" s="8"/>
      <c r="Y14" s="8"/>
      <c r="Z14" s="8"/>
      <c r="AA14" s="8"/>
      <c r="AB14" s="8"/>
      <c r="AC14" s="8"/>
      <c r="AD14" s="8"/>
    </row>
    <row r="15" spans="2:30" s="1" customFormat="1" ht="33">
      <c r="B15" s="126" t="s">
        <v>123</v>
      </c>
      <c r="C15" s="103">
        <f>'Data Entry'!C14</f>
        <v>8</v>
      </c>
      <c r="D15" s="108">
        <f>'Data Entry'!D14</f>
        <v>32</v>
      </c>
      <c r="E15" s="109">
        <f>'Black or African-American'!$G14</f>
        <v>3.6470588235294112</v>
      </c>
      <c r="F15" s="110">
        <f>'Data Entry'!E14</f>
        <v>0</v>
      </c>
      <c r="G15" s="109" t="str">
        <f>Hispanic!G14</f>
        <v>--</v>
      </c>
      <c r="H15" s="110">
        <f>'Data Entry'!F14</f>
        <v>0</v>
      </c>
      <c r="I15" s="109" t="str">
        <f>Asian!G14</f>
        <v>--</v>
      </c>
      <c r="J15" s="110">
        <f>'Data Entry'!J14</f>
        <v>34</v>
      </c>
      <c r="K15" s="111">
        <f>'All Minorities'!G14</f>
        <v>3.6597222222222219</v>
      </c>
      <c r="L15"/>
      <c r="N15" s="1">
        <f>'Black or African-American'!L14</f>
        <v>1</v>
      </c>
      <c r="O15" s="1" t="e">
        <f>Hispanic!L14</f>
        <v>#VALUE!</v>
      </c>
      <c r="P15" s="1" t="e">
        <f>Asian!L14</f>
        <v>#VALUE!</v>
      </c>
      <c r="Q15" s="1" t="e">
        <f>Hawaiian!L14</f>
        <v>#VALUE!</v>
      </c>
      <c r="R15" s="1" t="e">
        <f>'Am Indian'!L14</f>
        <v>#VALUE!</v>
      </c>
      <c r="S15" s="1">
        <f>'Other - Mixed'!L14</f>
        <v>119</v>
      </c>
      <c r="T15" s="1">
        <f>'All Minorities'!L14</f>
        <v>1</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1" t="s">
        <v>120</v>
      </c>
      <c r="C19" s="202"/>
      <c r="D19" s="202"/>
      <c r="E19" s="202"/>
      <c r="F19" s="202"/>
      <c r="G19" s="202"/>
      <c r="H19" s="202"/>
      <c r="I19" s="203"/>
      <c r="J19" s="204"/>
      <c r="K19" s="205"/>
    </row>
    <row r="20" spans="2:30" ht="15.75">
      <c r="B20" s="153" t="s">
        <v>125</v>
      </c>
      <c r="C20" s="209" t="s">
        <v>53</v>
      </c>
      <c r="D20" s="210"/>
      <c r="E20" s="193" t="s">
        <v>56</v>
      </c>
      <c r="F20" s="194"/>
      <c r="G20" s="194"/>
      <c r="H20" s="194"/>
      <c r="I20" s="194"/>
      <c r="J20" s="194"/>
      <c r="K20" s="154" t="s">
        <v>57</v>
      </c>
    </row>
    <row r="21" spans="2:30" ht="15" customHeight="1">
      <c r="B21" s="155" t="s">
        <v>126</v>
      </c>
      <c r="C21" s="195" t="s">
        <v>55</v>
      </c>
      <c r="D21" s="196"/>
      <c r="E21" s="197" t="s">
        <v>58</v>
      </c>
      <c r="F21" s="198"/>
      <c r="G21" s="198"/>
      <c r="H21" s="198"/>
      <c r="I21" s="198"/>
      <c r="J21" s="198"/>
      <c r="K21" s="156" t="s">
        <v>59</v>
      </c>
    </row>
    <row r="22" spans="2:30" ht="15" customHeight="1" thickBot="1">
      <c r="B22" s="206"/>
      <c r="C22" s="207"/>
      <c r="D22" s="208"/>
      <c r="E22" s="199" t="s">
        <v>60</v>
      </c>
      <c r="F22" s="200"/>
      <c r="G22" s="200"/>
      <c r="H22" s="200"/>
      <c r="I22" s="200"/>
      <c r="J22" s="200"/>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3" t="str">
        <f>'Data Entry'!D5</f>
        <v>Black or African American</v>
      </c>
      <c r="G1" s="213"/>
      <c r="H1" s="213"/>
      <c r="I1" s="213"/>
      <c r="J1" s="213"/>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Genesee</v>
      </c>
      <c r="C3" s="22"/>
      <c r="D3" s="22"/>
      <c r="E3" s="22"/>
      <c r="F3" s="22"/>
      <c r="G3" s="7"/>
      <c r="H3" s="7"/>
      <c r="I3" s="7"/>
      <c r="J3" s="7"/>
      <c r="K3" s="7"/>
      <c r="N3" s="212" t="s">
        <v>31</v>
      </c>
      <c r="O3" s="212"/>
      <c r="P3" s="212"/>
      <c r="Q3" s="212"/>
      <c r="R3" s="212"/>
      <c r="S3" s="212"/>
      <c r="T3" s="212"/>
      <c r="U3" s="212"/>
    </row>
    <row r="4" spans="2:21" ht="8.25" customHeight="1">
      <c r="B4" s="4"/>
      <c r="C4" s="23"/>
      <c r="D4" s="23"/>
      <c r="E4" s="23"/>
      <c r="F4" s="23"/>
      <c r="G4" s="8"/>
      <c r="H4" s="8"/>
      <c r="I4" s="8"/>
      <c r="N4" s="212"/>
      <c r="O4" s="212"/>
      <c r="P4" s="212"/>
      <c r="Q4" s="212"/>
      <c r="R4" s="212"/>
      <c r="S4" s="212"/>
      <c r="T4" s="212"/>
      <c r="U4" s="212"/>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27565</v>
      </c>
      <c r="D6" s="34"/>
      <c r="E6" s="33">
        <f>'Data Entry'!D6</f>
        <v>11068</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179</v>
      </c>
      <c r="D7" s="34">
        <f>IF((AND(C66&gt;0,C7&gt;0)),(C7/C66),0)</f>
        <v>6.4937420642118626</v>
      </c>
      <c r="E7" s="33">
        <f>'Data Entry'!D7</f>
        <v>221</v>
      </c>
      <c r="F7" s="34">
        <f>IF((AND($E$7&gt;0,$D$66&gt;0)),($E$7/$D$66),0)</f>
        <v>19.967473798337551</v>
      </c>
      <c r="G7" s="39">
        <f>IF(L$6=100,"*",IF(M7=FALSE,"--",IF(K7=20,"**",($F7/$D7))))</f>
        <v>3.0748794148110314</v>
      </c>
      <c r="H7" s="40"/>
      <c r="I7" s="41"/>
      <c r="J7" s="40">
        <f>IF((ABS($U7)&gt;Defaults!D$7),1,2)</f>
        <v>1</v>
      </c>
      <c r="K7" s="39">
        <f>IF((AND(N7&gt;Defaults!B$12,(N7+O7)&gt;Defaults!B$13, P7 &gt; Defaults!B$12, (P7+Q7) &gt; Defaults!B$13)),1,20)</f>
        <v>1</v>
      </c>
      <c r="L7" s="1">
        <f>(J7*K7+L$6)-1</f>
        <v>1</v>
      </c>
      <c r="M7" s="1" t="b">
        <f t="shared" ref="M7:M15" si="0">(ISNUMBER(J7))</f>
        <v>1</v>
      </c>
      <c r="N7" s="42">
        <f t="shared" ref="N7:N15" si="1">E7</f>
        <v>221</v>
      </c>
      <c r="O7" s="42">
        <f>E6-E7</f>
        <v>10847</v>
      </c>
      <c r="P7" s="42">
        <f t="shared" ref="P7:P15" si="2">C7</f>
        <v>179</v>
      </c>
      <c r="Q7" s="42">
        <f>C6-C7</f>
        <v>27386</v>
      </c>
      <c r="R7" s="42">
        <f t="shared" ref="R7:R15" si="3">SUM(N7:Q7)</f>
        <v>38633</v>
      </c>
      <c r="S7" s="30">
        <f t="shared" ref="S7:S15" si="4">R7*((((N7*Q7)-(O7*P7))^2))</f>
        <v>6.5281258919263962E+17</v>
      </c>
      <c r="T7" s="30">
        <f t="shared" ref="T7:T15" si="5">(N7+O7)*(P7+Q7)*(N7+P7)*(O7+Q7)</f>
        <v>4665793517944000</v>
      </c>
      <c r="U7" s="31">
        <f t="shared" ref="U7:U15" si="6">IF((S7&gt;0),S7/T7,"- -")</f>
        <v>139.9145904511231</v>
      </c>
    </row>
    <row r="8" spans="2:21" ht="18" customHeight="1">
      <c r="B8" s="32" t="str">
        <f>'Data Entry'!A8</f>
        <v>3. Refer to Juvenile Court</v>
      </c>
      <c r="C8" s="33">
        <f>'Data Entry'!C8</f>
        <v>236</v>
      </c>
      <c r="D8" s="34">
        <f>IF((AND(C67&gt;0,C8&gt;0)),(C8/C67),0)</f>
        <v>131.84357541899442</v>
      </c>
      <c r="E8" s="33">
        <f>'Data Entry'!D8</f>
        <v>225</v>
      </c>
      <c r="F8" s="34">
        <f>IF((AND($E$8&gt;0,$D$67&gt;0)),($E8/$D67),0)</f>
        <v>101.80995475113123</v>
      </c>
      <c r="G8" s="39">
        <f t="shared" ref="G8:G15" si="7">IF(L$6=100,"*",IF(M8=FALSE,"--",IF(K8=20,"**",($F8/$D8))))</f>
        <v>0.77220262290052921</v>
      </c>
      <c r="H8" s="40"/>
      <c r="I8" s="41"/>
      <c r="J8" s="40">
        <f>IF((ABS($U8)&gt;Defaults!D$7),1,2)</f>
        <v>1</v>
      </c>
      <c r="K8" s="39">
        <f>IF((AND(N8&gt;Defaults!B$12,(N8+O8)&gt;Defaults!B$13, P8 &gt; Defaults!B$12, (P8+Q8) &gt; Defaults!B$13)),1,20)</f>
        <v>1</v>
      </c>
      <c r="L8" s="1">
        <f t="shared" ref="L8:L15" si="8">(J8*K8+L$6)-1</f>
        <v>1</v>
      </c>
      <c r="M8" s="1" t="b">
        <f t="shared" si="0"/>
        <v>1</v>
      </c>
      <c r="N8" s="42">
        <f t="shared" si="1"/>
        <v>225</v>
      </c>
      <c r="O8" s="42">
        <f>((D67*L67)-E8)+0.05</f>
        <v>-3.95</v>
      </c>
      <c r="P8" s="42">
        <f t="shared" si="2"/>
        <v>236</v>
      </c>
      <c r="Q8" s="42">
        <f>(C$67*L67)-C8</f>
        <v>-57</v>
      </c>
      <c r="R8" s="42">
        <f t="shared" si="3"/>
        <v>400.05</v>
      </c>
      <c r="S8" s="30">
        <f t="shared" si="4"/>
        <v>56582548670.591988</v>
      </c>
      <c r="T8" s="30">
        <f t="shared" si="5"/>
        <v>-1111778280.7025003</v>
      </c>
      <c r="U8" s="31">
        <f t="shared" si="6"/>
        <v>-50.893734526671203</v>
      </c>
    </row>
    <row r="9" spans="2:21" ht="18" customHeight="1">
      <c r="B9" s="32" t="str">
        <f>'Data Entry'!A9</f>
        <v xml:space="preserve">4. Cases Diverted </v>
      </c>
      <c r="C9" s="33">
        <f>'Data Entry'!C9</f>
        <v>7</v>
      </c>
      <c r="D9" s="34">
        <f>IF((AND(C68&gt;0,C9&gt;0)),((C9/C68)),0)</f>
        <v>2.9661016949152543</v>
      </c>
      <c r="E9" s="33">
        <f>'Data Entry'!D9</f>
        <v>8</v>
      </c>
      <c r="F9" s="34">
        <f>IF((AND($E$9&gt;0,$D$68&gt;0)),(($E$9/$D$68)),0)</f>
        <v>3.5555555555555554</v>
      </c>
      <c r="G9" s="39">
        <f t="shared" si="7"/>
        <v>1.1987301587301586</v>
      </c>
      <c r="H9" s="40"/>
      <c r="I9" s="41"/>
      <c r="J9" s="40">
        <f>IF((ABS($U9)&gt;Defaults!D$7),1,2)</f>
        <v>2</v>
      </c>
      <c r="K9" s="39">
        <f>IF((AND(N9&gt;Defaults!B$12,(N9+O9)&gt;Defaults!B$13, P9 &gt; Defaults!B$12, (P9+Q9) &gt; Defaults!B$13)),1,20)</f>
        <v>1</v>
      </c>
      <c r="L9" s="1">
        <f t="shared" si="8"/>
        <v>2</v>
      </c>
      <c r="M9" s="1" t="b">
        <f t="shared" si="0"/>
        <v>1</v>
      </c>
      <c r="N9" s="42">
        <f t="shared" si="1"/>
        <v>8</v>
      </c>
      <c r="O9" s="42">
        <f>(D$68*L68)-E9</f>
        <v>217</v>
      </c>
      <c r="P9" s="42">
        <f t="shared" si="2"/>
        <v>7</v>
      </c>
      <c r="Q9" s="42">
        <f>(C$68*L68)-C9</f>
        <v>229</v>
      </c>
      <c r="R9" s="42">
        <f t="shared" si="3"/>
        <v>461</v>
      </c>
      <c r="S9" s="30">
        <f t="shared" si="4"/>
        <v>45163709</v>
      </c>
      <c r="T9" s="30">
        <f t="shared" si="5"/>
        <v>355239000</v>
      </c>
      <c r="U9" s="31">
        <f t="shared" si="6"/>
        <v>0.12713612244151121</v>
      </c>
    </row>
    <row r="10" spans="2:21" ht="18" customHeight="1">
      <c r="B10" s="32" t="str">
        <f>'Data Entry'!A10</f>
        <v>5. Cases Involving Secure Detention</v>
      </c>
      <c r="C10" s="33">
        <f>'Data Entry'!C10</f>
        <v>43</v>
      </c>
      <c r="D10" s="34">
        <f>IF(((AND(C68&gt;0,C10&gt;0))),(C10/(C68)),0)</f>
        <v>18.220338983050848</v>
      </c>
      <c r="E10" s="33">
        <f>'Data Entry'!D10</f>
        <v>83</v>
      </c>
      <c r="F10" s="34">
        <f>IF(((AND($E$10&gt;0,$D$68&gt;0))),($E$10/($D$68)),0)</f>
        <v>36.888888888888886</v>
      </c>
      <c r="G10" s="39">
        <f t="shared" si="7"/>
        <v>2.0245994832041343</v>
      </c>
      <c r="H10" s="40"/>
      <c r="I10" s="41"/>
      <c r="J10" s="40">
        <f>IF((ABS($U10)&gt;Defaults!D$7),1,2)</f>
        <v>1</v>
      </c>
      <c r="K10" s="39">
        <f>IF((AND(N10&gt;Defaults!B$12,(N10+O10)&gt;Defaults!B$13, P10 &gt; Defaults!B$12, (P10+Q10) &gt; Defaults!B$13)),1,20)</f>
        <v>1</v>
      </c>
      <c r="L10" s="1">
        <f t="shared" si="8"/>
        <v>1</v>
      </c>
      <c r="M10" s="1" t="b">
        <f t="shared" si="0"/>
        <v>1</v>
      </c>
      <c r="N10" s="42">
        <f t="shared" si="1"/>
        <v>83</v>
      </c>
      <c r="O10" s="42">
        <f>(D$68*L68)-E10</f>
        <v>142</v>
      </c>
      <c r="P10" s="42">
        <f t="shared" si="2"/>
        <v>43</v>
      </c>
      <c r="Q10" s="42">
        <f>(C$68*L68)-C10</f>
        <v>193</v>
      </c>
      <c r="R10" s="42">
        <f t="shared" si="3"/>
        <v>461</v>
      </c>
      <c r="S10" s="30">
        <f t="shared" si="4"/>
        <v>45301349309</v>
      </c>
      <c r="T10" s="30">
        <f t="shared" si="5"/>
        <v>2241351000</v>
      </c>
      <c r="U10" s="31">
        <f t="shared" si="6"/>
        <v>20.211626518559566</v>
      </c>
    </row>
    <row r="11" spans="2:21" ht="18" customHeight="1">
      <c r="B11" s="32" t="str">
        <f>'Data Entry'!A11</f>
        <v>6. Cases Petitioned (Charge Filed)</v>
      </c>
      <c r="C11" s="33">
        <f>'Data Entry'!C11</f>
        <v>118</v>
      </c>
      <c r="D11" s="34">
        <f>IF(((AND(C68&gt;0,C11&gt;0))),(C11/(C68)),0)</f>
        <v>50</v>
      </c>
      <c r="E11" s="33">
        <f>'Data Entry'!D11</f>
        <v>130</v>
      </c>
      <c r="F11" s="34">
        <f>IF(((AND($E$11&gt;0,$D$68&gt;0))),($E$11/($D$68)),0)</f>
        <v>57.777777777777779</v>
      </c>
      <c r="G11" s="39">
        <f t="shared" si="7"/>
        <v>1.1555555555555557</v>
      </c>
      <c r="H11" s="40"/>
      <c r="I11" s="41"/>
      <c r="J11" s="40">
        <f>IF((ABS($U11)&gt;Defaults!D$7),1,2)</f>
        <v>2</v>
      </c>
      <c r="K11" s="39">
        <f>IF((AND(N11&gt;Defaults!B$12,(N11+O11)&gt;Defaults!B$13, P11 &gt; Defaults!B$12, (P11+Q11) &gt; Defaults!B$13)),1,20)</f>
        <v>1</v>
      </c>
      <c r="L11" s="1">
        <f t="shared" si="8"/>
        <v>2</v>
      </c>
      <c r="M11" s="1" t="b">
        <f t="shared" si="0"/>
        <v>1</v>
      </c>
      <c r="N11" s="42">
        <f t="shared" si="1"/>
        <v>130</v>
      </c>
      <c r="O11" s="42">
        <f>(D$68*L68)-E11</f>
        <v>95</v>
      </c>
      <c r="P11" s="42">
        <f t="shared" si="2"/>
        <v>118</v>
      </c>
      <c r="Q11" s="42">
        <f>(C$68*L68)-C11</f>
        <v>118</v>
      </c>
      <c r="R11" s="42">
        <f t="shared" si="3"/>
        <v>461</v>
      </c>
      <c r="S11" s="30">
        <f t="shared" si="4"/>
        <v>7863230900</v>
      </c>
      <c r="T11" s="30">
        <f t="shared" si="5"/>
        <v>2804954400</v>
      </c>
      <c r="U11" s="31">
        <f t="shared" si="6"/>
        <v>2.8033364463964192</v>
      </c>
    </row>
    <row r="12" spans="2:21" ht="18" customHeight="1">
      <c r="B12" s="32" t="str">
        <f>'Data Entry'!A12</f>
        <v>7. Cases Resulting in Delinquent Findings</v>
      </c>
      <c r="C12" s="33">
        <f>'Data Entry'!C12</f>
        <v>62</v>
      </c>
      <c r="D12" s="34">
        <f>IF(((AND(C69&gt;0,C12&gt;0))),(C12/(C69)),0)</f>
        <v>52.542372881355938</v>
      </c>
      <c r="E12" s="33">
        <f>'Data Entry'!D12</f>
        <v>68</v>
      </c>
      <c r="F12" s="34">
        <f>IF(((AND($D$69&gt;0,$E$12&gt;0))),(E12/(D69)),0)</f>
        <v>52.307692307692307</v>
      </c>
      <c r="G12" s="39">
        <f t="shared" si="7"/>
        <v>0.99553349875930508</v>
      </c>
      <c r="H12" s="40"/>
      <c r="I12" s="41"/>
      <c r="J12" s="40">
        <f>IF((ABS($U12)&gt;Defaults!D$7),1,2)</f>
        <v>2</v>
      </c>
      <c r="K12" s="39">
        <f>IF((AND(N12&gt;Defaults!B$12,(N12+O12)&gt;Defaults!B$13, P12 &gt; Defaults!B$12, (P12+Q12) &gt; Defaults!B$13)),1,20)</f>
        <v>1</v>
      </c>
      <c r="L12" s="1">
        <f t="shared" si="8"/>
        <v>2</v>
      </c>
      <c r="M12" s="1" t="b">
        <f t="shared" si="0"/>
        <v>1</v>
      </c>
      <c r="N12" s="42">
        <f t="shared" si="1"/>
        <v>68</v>
      </c>
      <c r="O12" s="42">
        <f>(D69*L69)-E12</f>
        <v>62</v>
      </c>
      <c r="P12" s="42">
        <f t="shared" si="2"/>
        <v>62</v>
      </c>
      <c r="Q12" s="42">
        <f>(C69*L69)-C12</f>
        <v>56</v>
      </c>
      <c r="R12" s="42">
        <f t="shared" si="3"/>
        <v>248</v>
      </c>
      <c r="S12" s="30">
        <f t="shared" si="4"/>
        <v>321408</v>
      </c>
      <c r="T12" s="30">
        <f t="shared" si="5"/>
        <v>235315600</v>
      </c>
      <c r="U12" s="31">
        <f t="shared" si="6"/>
        <v>1.3658592970461796E-3</v>
      </c>
    </row>
    <row r="13" spans="2:21" ht="18" customHeight="1">
      <c r="B13" s="32" t="str">
        <f>'Data Entry'!A13</f>
        <v>8. Cases Resulting in Probation Placement</v>
      </c>
      <c r="C13" s="33">
        <f>'Data Entry'!C13</f>
        <v>90</v>
      </c>
      <c r="D13" s="34">
        <f>IF(((AND(C70&gt;0,C13&gt;0))),(C13/(C70)),0)</f>
        <v>145.16129032258064</v>
      </c>
      <c r="E13" s="33">
        <f>'Data Entry'!D13</f>
        <v>61</v>
      </c>
      <c r="F13" s="34">
        <f>IF(((AND($D$70&gt;0,$E$13&gt;0))),($E$13/($D$70)),0)</f>
        <v>89.705882352941174</v>
      </c>
      <c r="G13" s="39">
        <f t="shared" si="7"/>
        <v>0.61797385620915035</v>
      </c>
      <c r="H13" s="40"/>
      <c r="I13" s="41"/>
      <c r="J13" s="40">
        <f>IF((ABS($U13)&gt;Defaults!D$7),1,2)</f>
        <v>1</v>
      </c>
      <c r="K13" s="39">
        <f>IF((AND(N13&gt;Defaults!B$12,(N13+O13)&gt;Defaults!B$13, P13 &gt; Defaults!B$12, (P13+Q13) &gt; Defaults!B$13)),1,20)</f>
        <v>1</v>
      </c>
      <c r="L13" s="1">
        <f t="shared" si="8"/>
        <v>1</v>
      </c>
      <c r="M13" s="1" t="b">
        <f t="shared" si="0"/>
        <v>1</v>
      </c>
      <c r="N13" s="42">
        <f t="shared" si="1"/>
        <v>61</v>
      </c>
      <c r="O13" s="42">
        <f>(D70*L70)-E13</f>
        <v>7</v>
      </c>
      <c r="P13" s="42">
        <f t="shared" si="2"/>
        <v>90</v>
      </c>
      <c r="Q13" s="42">
        <f>(C70*L70)-C13</f>
        <v>-28</v>
      </c>
      <c r="R13" s="42">
        <f t="shared" si="3"/>
        <v>130</v>
      </c>
      <c r="S13" s="30">
        <f t="shared" si="4"/>
        <v>710611720</v>
      </c>
      <c r="T13" s="30">
        <f t="shared" si="5"/>
        <v>-13368936</v>
      </c>
      <c r="U13" s="31">
        <f t="shared" si="6"/>
        <v>-53.153947329839859</v>
      </c>
    </row>
    <row r="14" spans="2:21" ht="30.75" customHeight="1">
      <c r="B14" s="32" t="str">
        <f>'Data Entry'!A14</f>
        <v xml:space="preserve">9. Cases Resulting in Confinement in Secure Juvenile Correctional Facilities </v>
      </c>
      <c r="C14" s="33">
        <f>'Data Entry'!C14</f>
        <v>8</v>
      </c>
      <c r="D14" s="34">
        <f>IF(((AND(C70&gt;0,C14&gt;0))), ((C14/(C70))),0)</f>
        <v>12.903225806451614</v>
      </c>
      <c r="E14" s="33">
        <f>'Data Entry'!D14</f>
        <v>32</v>
      </c>
      <c r="F14" s="34">
        <f>IF(((AND($D$70&gt;0,$E$14&gt;0))), (($E$14/($D$70))),0)</f>
        <v>47.058823529411761</v>
      </c>
      <c r="G14" s="39">
        <f t="shared" si="7"/>
        <v>3.6470588235294112</v>
      </c>
      <c r="H14" s="40"/>
      <c r="I14" s="41"/>
      <c r="J14" s="40">
        <f>IF((ABS($U14)&gt;Defaults!D$7),1,2)</f>
        <v>1</v>
      </c>
      <c r="K14" s="39">
        <f>IF((AND(N14&gt;Defaults!B$12,(N14+O14)&gt;Defaults!B$13, P14 &gt; Defaults!B$12, (P14+Q14) &gt; Defaults!B$13)),1,20)</f>
        <v>1</v>
      </c>
      <c r="L14" s="1">
        <f t="shared" si="8"/>
        <v>1</v>
      </c>
      <c r="M14" s="1" t="b">
        <f t="shared" si="0"/>
        <v>1</v>
      </c>
      <c r="N14" s="42">
        <f t="shared" si="1"/>
        <v>32</v>
      </c>
      <c r="O14" s="42">
        <f>(D70*L70)-E14</f>
        <v>36</v>
      </c>
      <c r="P14" s="42">
        <f t="shared" si="2"/>
        <v>8</v>
      </c>
      <c r="Q14" s="42">
        <f>(C70*L70)-C14</f>
        <v>54</v>
      </c>
      <c r="R14" s="42">
        <f t="shared" si="3"/>
        <v>130</v>
      </c>
      <c r="S14" s="30">
        <f t="shared" si="4"/>
        <v>269568000</v>
      </c>
      <c r="T14" s="30">
        <f t="shared" si="5"/>
        <v>15177600</v>
      </c>
      <c r="U14" s="31">
        <f t="shared" si="6"/>
        <v>17.76091081593928</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130</v>
      </c>
      <c r="P15" s="42">
        <f t="shared" si="2"/>
        <v>0</v>
      </c>
      <c r="Q15" s="42">
        <f>(C69*L69)-C15</f>
        <v>118</v>
      </c>
      <c r="R15" s="42">
        <f t="shared" si="3"/>
        <v>248</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1" t="s">
        <v>79</v>
      </c>
      <c r="C40" s="211"/>
      <c r="D40" s="211"/>
      <c r="E40" s="211"/>
      <c r="F40" s="211"/>
      <c r="G40" s="211"/>
      <c r="H40" s="211"/>
      <c r="I40" s="211"/>
      <c r="J40" s="211"/>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27.565000000000001</v>
      </c>
      <c r="D42" s="56">
        <f>E6/1000</f>
        <v>11.068</v>
      </c>
      <c r="E42" s="56">
        <f>MAX(C42:D42)</f>
        <v>27.565000000000001</v>
      </c>
      <c r="G42" s="1" t="str">
        <f>B42</f>
        <v>per 1000 youth</v>
      </c>
      <c r="L42" s="57">
        <v>1000</v>
      </c>
      <c r="M42" s="57"/>
      <c r="R42" s="49"/>
    </row>
    <row r="43" spans="2:18" ht="15" hidden="1" customHeight="1">
      <c r="B43" s="49" t="s">
        <v>87</v>
      </c>
      <c r="C43" s="56">
        <f>C7/100</f>
        <v>1.79</v>
      </c>
      <c r="D43" s="56">
        <f>E7/100</f>
        <v>2.21</v>
      </c>
      <c r="E43" s="56">
        <f>MAX(C43:D43,0)</f>
        <v>2.21</v>
      </c>
      <c r="G43" s="1" t="str">
        <f>B43</f>
        <v>per 100 arrests</v>
      </c>
      <c r="L43" s="57">
        <v>100</v>
      </c>
      <c r="M43" s="57"/>
      <c r="R43" s="49"/>
    </row>
    <row r="44" spans="2:18" ht="15" hidden="1" customHeight="1">
      <c r="B44" s="49" t="s">
        <v>88</v>
      </c>
      <c r="C44" s="56">
        <f>C8/100</f>
        <v>2.36</v>
      </c>
      <c r="D44" s="56">
        <f>E8/100</f>
        <v>2.25</v>
      </c>
      <c r="E44" s="56">
        <f>MAX(C44:D44,0)</f>
        <v>2.36</v>
      </c>
      <c r="G44" s="1" t="str">
        <f>B44</f>
        <v>per 100 referrals</v>
      </c>
      <c r="L44" s="57">
        <v>100</v>
      </c>
      <c r="M44" s="57"/>
      <c r="R44" s="49"/>
    </row>
    <row r="45" spans="2:18" ht="15" hidden="1" customHeight="1">
      <c r="B45" s="49" t="s">
        <v>89</v>
      </c>
      <c r="C45" s="49">
        <f>C11/100</f>
        <v>1.18</v>
      </c>
      <c r="D45" s="49">
        <f>E11/100</f>
        <v>1.3</v>
      </c>
      <c r="E45" s="56">
        <f>MAX(C45:D45,0)</f>
        <v>1.3</v>
      </c>
      <c r="G45" s="1" t="str">
        <f>B45</f>
        <v>per 100 youth petitioned</v>
      </c>
      <c r="L45" s="57">
        <v>100</v>
      </c>
      <c r="M45" s="57"/>
      <c r="R45" s="49"/>
    </row>
    <row r="46" spans="2:18" ht="15" hidden="1" customHeight="1">
      <c r="B46" s="49" t="s">
        <v>90</v>
      </c>
      <c r="C46" s="49">
        <f>C12/100</f>
        <v>0.62</v>
      </c>
      <c r="D46" s="49">
        <f>E12/100</f>
        <v>0.68</v>
      </c>
      <c r="E46" s="56">
        <f>MAX(C46:D46)</f>
        <v>0.68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27.565000000000001</v>
      </c>
      <c r="D48" s="56">
        <f>D42</f>
        <v>11.068</v>
      </c>
      <c r="E48" s="56">
        <f>MAX(C48:D48)</f>
        <v>27.565000000000001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1.79</v>
      </c>
      <c r="D49" s="49">
        <f t="shared" si="9"/>
        <v>2.21</v>
      </c>
      <c r="E49" s="49">
        <f>MAX(C49:D49)</f>
        <v>2.21</v>
      </c>
      <c r="G49" s="1" t="str">
        <f>G43</f>
        <v>per 100 arrests</v>
      </c>
      <c r="L49" s="58">
        <f>IF(($E43&gt;0),L43,L42)</f>
        <v>100</v>
      </c>
      <c r="M49" s="58"/>
      <c r="N49" s="21"/>
      <c r="O49" s="21"/>
      <c r="P49" s="21"/>
      <c r="Q49" s="21"/>
      <c r="R49" s="21"/>
    </row>
    <row r="50" spans="2:18" ht="15" hidden="1" customHeight="1">
      <c r="B50" s="49" t="str">
        <f t="shared" si="9"/>
        <v>per 100 referrals</v>
      </c>
      <c r="C50" s="49">
        <f t="shared" si="9"/>
        <v>2.36</v>
      </c>
      <c r="D50" s="49">
        <f t="shared" si="9"/>
        <v>2.25</v>
      </c>
      <c r="E50" s="49">
        <f>MAX(C50:D50)</f>
        <v>2.36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1.18</v>
      </c>
      <c r="D51" s="49">
        <f>IF(($E45&gt;0),D45,D44)</f>
        <v>1.3</v>
      </c>
      <c r="E51" s="49">
        <f>MAX(C51:D51)</f>
        <v>1.3</v>
      </c>
      <c r="G51" s="1" t="str">
        <f>G45</f>
        <v>per 100 youth petitioned</v>
      </c>
      <c r="L51" s="58">
        <f>IF(($E45&gt;0),L45,L44)</f>
        <v>100</v>
      </c>
      <c r="M51" s="58"/>
    </row>
    <row r="52" spans="2:18" ht="15" hidden="1" customHeight="1">
      <c r="B52" s="49" t="str">
        <f>IF(($E46&gt;0),B46,B45)</f>
        <v>per 100 youth found delinquent</v>
      </c>
      <c r="C52" s="49">
        <f>IF(($E46&gt;0),C46,C45)</f>
        <v>0.62</v>
      </c>
      <c r="D52" s="49">
        <f>IF(($E46&gt;0),D46,D45)</f>
        <v>0.68</v>
      </c>
      <c r="E52" s="56">
        <f>MAX(C52:D52)</f>
        <v>0.68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27.565000000000001</v>
      </c>
      <c r="D54" s="56">
        <f>D48</f>
        <v>11.068</v>
      </c>
      <c r="E54" s="56">
        <f>MAX(C54:D54)</f>
        <v>27.565000000000001</v>
      </c>
      <c r="G54" s="1" t="str">
        <f>G48</f>
        <v>per 1000 youth</v>
      </c>
      <c r="L54" s="58">
        <f>L48</f>
        <v>1000</v>
      </c>
      <c r="M54" s="58"/>
    </row>
    <row r="55" spans="2:18" ht="15" hidden="1" customHeight="1">
      <c r="B55" s="49" t="str">
        <f t="shared" ref="B55:D56" si="10">IF(($E49&gt;0),B49,B48)</f>
        <v>per 100 arrests</v>
      </c>
      <c r="C55" s="49">
        <f t="shared" si="10"/>
        <v>1.79</v>
      </c>
      <c r="D55" s="49">
        <f t="shared" si="10"/>
        <v>2.21</v>
      </c>
      <c r="E55" s="49">
        <f>MAX(C55:D55)</f>
        <v>2.21</v>
      </c>
      <c r="G55" s="1" t="str">
        <f>G49</f>
        <v>per 100 arrests</v>
      </c>
      <c r="L55" s="58">
        <f>IF(($E49&gt;0),L49,L48)</f>
        <v>100</v>
      </c>
      <c r="M55" s="58"/>
    </row>
    <row r="56" spans="2:18" ht="15" hidden="1" customHeight="1">
      <c r="B56" s="49" t="str">
        <f t="shared" si="10"/>
        <v>per 100 referrals</v>
      </c>
      <c r="C56" s="49">
        <f t="shared" si="10"/>
        <v>2.36</v>
      </c>
      <c r="D56" s="49">
        <f t="shared" si="10"/>
        <v>2.25</v>
      </c>
      <c r="E56" s="49">
        <f>MAX(C56:D56)</f>
        <v>2.36</v>
      </c>
      <c r="G56" s="1" t="str">
        <f>G50</f>
        <v>per 100 referrals</v>
      </c>
      <c r="L56" s="58">
        <f>IF(($E50&gt;0),L50,L49)</f>
        <v>100</v>
      </c>
      <c r="M56" s="58"/>
    </row>
    <row r="57" spans="2:18" ht="15" hidden="1" customHeight="1">
      <c r="B57" s="49" t="str">
        <f>IF(($E51&gt;0),B51,B49)</f>
        <v>per 100 youth petitioned</v>
      </c>
      <c r="C57" s="49">
        <f>IF(($E51&gt;0),C51,C50)</f>
        <v>1.18</v>
      </c>
      <c r="D57" s="49">
        <f>IF(($E51&gt;0),D51,D50)</f>
        <v>1.3</v>
      </c>
      <c r="E57" s="49">
        <f>MAX(C57:D57)</f>
        <v>1.3</v>
      </c>
      <c r="G57" s="1" t="str">
        <f>G51</f>
        <v>per 100 youth petitioned</v>
      </c>
      <c r="L57" s="58">
        <f>IF(($E51&gt;0),L51,L50)</f>
        <v>100</v>
      </c>
      <c r="M57" s="58"/>
    </row>
    <row r="58" spans="2:18" ht="15" hidden="1" customHeight="1">
      <c r="B58" s="49" t="str">
        <f>IF(($E52&gt;0),B52,B51)</f>
        <v>per 100 youth found delinquent</v>
      </c>
      <c r="C58" s="49">
        <f>IF(($E52&gt;0),C52,C51)</f>
        <v>0.62</v>
      </c>
      <c r="D58" s="49">
        <f>IF(($E52&gt;0),D52,D51)</f>
        <v>0.68</v>
      </c>
      <c r="E58" s="56">
        <f>MAX(C58:D58)</f>
        <v>0.68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27.565000000000001</v>
      </c>
      <c r="D60" s="56">
        <f>D54</f>
        <v>11.068</v>
      </c>
      <c r="E60" s="56">
        <f>MAX(C60:D60)</f>
        <v>27.565000000000001</v>
      </c>
      <c r="G60" s="1" t="str">
        <f>G54</f>
        <v>per 1000 youth</v>
      </c>
      <c r="L60" s="58">
        <f>L54</f>
        <v>1000</v>
      </c>
      <c r="M60" s="58"/>
    </row>
    <row r="61" spans="2:18" ht="15" hidden="1" customHeight="1">
      <c r="B61" s="49" t="str">
        <f t="shared" ref="B61:D62" si="11">IF(($E55&gt;0),B55,B54)</f>
        <v>per 100 arrests</v>
      </c>
      <c r="C61" s="49">
        <f t="shared" si="11"/>
        <v>1.79</v>
      </c>
      <c r="D61" s="49">
        <f t="shared" si="11"/>
        <v>2.21</v>
      </c>
      <c r="E61" s="49">
        <f>MAX(C61:D61)</f>
        <v>2.21</v>
      </c>
      <c r="G61" s="1" t="str">
        <f>G55</f>
        <v>per 100 arrests</v>
      </c>
      <c r="L61" s="58">
        <f>IF(($E55&gt;0),L55,L54)</f>
        <v>100</v>
      </c>
      <c r="M61" s="58"/>
    </row>
    <row r="62" spans="2:18" ht="15" hidden="1" customHeight="1">
      <c r="B62" s="49" t="str">
        <f t="shared" si="11"/>
        <v>per 100 referrals</v>
      </c>
      <c r="C62" s="49">
        <f t="shared" si="11"/>
        <v>2.36</v>
      </c>
      <c r="D62" s="49">
        <f t="shared" si="11"/>
        <v>2.25</v>
      </c>
      <c r="E62" s="49">
        <f>MAX(C62:D62)</f>
        <v>2.36</v>
      </c>
      <c r="G62" s="1" t="str">
        <f>G56</f>
        <v>per 100 referrals</v>
      </c>
      <c r="L62" s="58">
        <f>IF(($E56&gt;0),L56,L55)</f>
        <v>100</v>
      </c>
      <c r="M62" s="58"/>
    </row>
    <row r="63" spans="2:18" ht="15" hidden="1" customHeight="1">
      <c r="B63" s="49" t="str">
        <f>IF(($E57&gt;0),B57,B55)</f>
        <v>per 100 youth petitioned</v>
      </c>
      <c r="C63" s="49">
        <f>IF(($E57&gt;0),C57,C56)</f>
        <v>1.18</v>
      </c>
      <c r="D63" s="49">
        <f>IF(($E57&gt;0),D57,D56)</f>
        <v>1.3</v>
      </c>
      <c r="E63" s="49">
        <f>MAX(C63:D63)</f>
        <v>1.3</v>
      </c>
      <c r="G63" s="1" t="str">
        <f>G57</f>
        <v>per 100 youth petitioned</v>
      </c>
      <c r="L63" s="58">
        <f>IF(($E57&gt;0),L57,L56)</f>
        <v>100</v>
      </c>
      <c r="M63" s="58"/>
    </row>
    <row r="64" spans="2:18" ht="15" hidden="1" customHeight="1">
      <c r="B64" s="49" t="str">
        <f>IF(($E58&gt;0),B58,B57)</f>
        <v>per 100 youth found delinquent</v>
      </c>
      <c r="C64" s="49">
        <f>IF(($E58&gt;0),C58,C57)</f>
        <v>0.62</v>
      </c>
      <c r="D64" s="49">
        <f>IF(($E58&gt;0),D58,D57)</f>
        <v>0.68</v>
      </c>
      <c r="E64" s="56">
        <f>MAX(C64:D64)</f>
        <v>0.68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27.565000000000001</v>
      </c>
      <c r="D66" s="56">
        <f>D60</f>
        <v>11.068</v>
      </c>
      <c r="E66" s="56">
        <f>MAX(C66:D66)</f>
        <v>27.565000000000001</v>
      </c>
      <c r="G66" s="1" t="str">
        <f>G60</f>
        <v>per 1000 youth</v>
      </c>
      <c r="L66" s="58">
        <f>L60</f>
        <v>1000</v>
      </c>
      <c r="M66" s="58">
        <f>IF((B66=G66),1,2)</f>
        <v>1</v>
      </c>
    </row>
    <row r="67" spans="2:13" ht="15" hidden="1" customHeight="1">
      <c r="B67" s="49" t="str">
        <f t="shared" ref="B67:D68" si="12">IF(($E61&gt;0),B61,B60)</f>
        <v>per 100 arrests</v>
      </c>
      <c r="C67" s="49">
        <f t="shared" si="12"/>
        <v>1.79</v>
      </c>
      <c r="D67" s="49">
        <f t="shared" si="12"/>
        <v>2.21</v>
      </c>
      <c r="E67" s="49">
        <f>MAX(C67:D67)</f>
        <v>2.21</v>
      </c>
      <c r="G67" s="1" t="str">
        <f>G61</f>
        <v>per 100 arrests</v>
      </c>
      <c r="L67" s="58">
        <f>IF(($E61&gt;0),L61,L60)</f>
        <v>100</v>
      </c>
      <c r="M67" s="58">
        <f>IF((B67=G67),1,2)</f>
        <v>1</v>
      </c>
    </row>
    <row r="68" spans="2:13" ht="15" hidden="1" customHeight="1">
      <c r="B68" s="49" t="str">
        <f t="shared" si="12"/>
        <v>per 100 referrals</v>
      </c>
      <c r="C68" s="49">
        <f t="shared" si="12"/>
        <v>2.36</v>
      </c>
      <c r="D68" s="49">
        <f t="shared" si="12"/>
        <v>2.25</v>
      </c>
      <c r="E68" s="49">
        <f>MAX(C68:D68)</f>
        <v>2.36</v>
      </c>
      <c r="G68" s="1" t="str">
        <f>G62</f>
        <v>per 100 referrals</v>
      </c>
      <c r="L68" s="58">
        <f>IF(($E62&gt;0),L62,L61)</f>
        <v>100</v>
      </c>
      <c r="M68" s="58">
        <f>IF((B68=G68),1,2)</f>
        <v>1</v>
      </c>
    </row>
    <row r="69" spans="2:13" ht="15" hidden="1" customHeight="1">
      <c r="B69" s="49" t="str">
        <f>IF(($E63&gt;0),B63,B61)</f>
        <v>per 100 youth petitioned</v>
      </c>
      <c r="C69" s="49">
        <f>IF(($E63&gt;0),C63,C62)</f>
        <v>1.18</v>
      </c>
      <c r="D69" s="49">
        <f>IF(($E63&gt;0),D63,D62)</f>
        <v>1.3</v>
      </c>
      <c r="E69" s="49">
        <f>MAX(C69:D69)</f>
        <v>1.3</v>
      </c>
      <c r="G69" s="1" t="str">
        <f>G63</f>
        <v>per 100 youth petitioned</v>
      </c>
      <c r="L69" s="58">
        <f>IF(($E63&gt;0),L63,L62)</f>
        <v>100</v>
      </c>
      <c r="M69" s="58">
        <f>IF((B69=G69),1,2)</f>
        <v>1</v>
      </c>
    </row>
    <row r="70" spans="2:13" ht="15" hidden="1" customHeight="1">
      <c r="B70" s="49" t="str">
        <f>IF(($E64&gt;0),B64,B63)</f>
        <v>per 100 youth found delinquent</v>
      </c>
      <c r="C70" s="49">
        <f>IF(($E64&gt;0),C64,C63)</f>
        <v>0.62</v>
      </c>
      <c r="D70" s="49">
        <f>IF(($E64&gt;0),D64,D63)</f>
        <v>0.68</v>
      </c>
      <c r="E70" s="56">
        <f>MAX(C70:D70)</f>
        <v>0.68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3" t="str">
        <f>'Data Entry'!F5</f>
        <v>Asian</v>
      </c>
      <c r="G1" s="213"/>
      <c r="H1" s="213"/>
      <c r="I1" s="213"/>
      <c r="J1" s="213"/>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Genesee</v>
      </c>
      <c r="C3" s="22"/>
      <c r="D3" s="22"/>
      <c r="E3" s="22"/>
      <c r="F3" s="22"/>
      <c r="G3" s="7"/>
      <c r="H3" s="7"/>
      <c r="I3" s="7"/>
      <c r="J3" s="7"/>
      <c r="K3" s="7"/>
      <c r="N3" s="212" t="s">
        <v>31</v>
      </c>
      <c r="O3" s="212"/>
      <c r="P3" s="212"/>
      <c r="Q3" s="212"/>
      <c r="R3" s="212"/>
      <c r="S3" s="212"/>
      <c r="T3" s="212"/>
      <c r="U3" s="212"/>
    </row>
    <row r="4" spans="2:21" ht="8.25" customHeight="1">
      <c r="B4" s="4"/>
      <c r="C4" s="23"/>
      <c r="D4" s="23"/>
      <c r="E4" s="23"/>
      <c r="F4" s="23"/>
      <c r="G4" s="8"/>
      <c r="H4" s="8"/>
      <c r="I4" s="8"/>
      <c r="N4" s="212"/>
      <c r="O4" s="212"/>
      <c r="P4" s="212"/>
      <c r="Q4" s="212"/>
      <c r="R4" s="212"/>
      <c r="S4" s="212"/>
      <c r="T4" s="212"/>
      <c r="U4" s="212"/>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27565</v>
      </c>
      <c r="D6" s="34"/>
      <c r="E6" s="33">
        <f>'Data Entry'!F6</f>
        <v>512</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179</v>
      </c>
      <c r="D7" s="34">
        <f>IF((AND(C66&gt;0,C7&gt;0)),(C7/C66),0)</f>
        <v>6.4937420642118626</v>
      </c>
      <c r="E7" s="33">
        <f>'Data Entry'!F7</f>
        <v>1</v>
      </c>
      <c r="F7" s="34">
        <f>IF((AND($E$7&gt;0,$D$66&gt;0)),($E$7/$D$66),0)</f>
        <v>1.953125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511</v>
      </c>
      <c r="P7" s="42">
        <f t="shared" ref="P7:P15" si="4">C7</f>
        <v>179</v>
      </c>
      <c r="Q7" s="42">
        <f>C6-C7</f>
        <v>27386</v>
      </c>
      <c r="R7" s="42">
        <f t="shared" ref="R7:R15" si="5">SUM(N7:Q7)</f>
        <v>28077</v>
      </c>
      <c r="S7" s="30">
        <f t="shared" ref="S7:S15" si="6">R7*((((N7*Q7)-(O7*P7))^2))</f>
        <v>115301875470453</v>
      </c>
      <c r="T7" s="30">
        <f t="shared" ref="T7:T15" si="7">(N7+O7)*(P7+Q7)*(N7+P7)*(O7+Q7)</f>
        <v>70869270988800</v>
      </c>
      <c r="U7" s="31">
        <f t="shared" ref="U7:U15" si="8">IF((S7&gt;0),S7/T7,"- -")</f>
        <v>1.6269657336911933</v>
      </c>
    </row>
    <row r="8" spans="2:21" ht="18" customHeight="1">
      <c r="B8" s="32" t="str">
        <f>'Data Entry'!A8</f>
        <v>3. Refer to Juvenile Court</v>
      </c>
      <c r="C8" s="33">
        <f>'Data Entry'!C8</f>
        <v>236</v>
      </c>
      <c r="D8" s="34">
        <f>IF((AND(C67&gt;0,C8&gt;0)),(C8/C67),0)</f>
        <v>131.84357541899442</v>
      </c>
      <c r="E8" s="33">
        <f>'Data Entry'!F8</f>
        <v>0</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0</v>
      </c>
      <c r="O8" s="42">
        <f>((D67*L67)-E8)+0.05</f>
        <v>1.05</v>
      </c>
      <c r="P8" s="42">
        <f t="shared" si="4"/>
        <v>236</v>
      </c>
      <c r="Q8" s="42">
        <f>(C$67*L67)-C8</f>
        <v>-57</v>
      </c>
      <c r="R8" s="42">
        <f t="shared" si="5"/>
        <v>180.05</v>
      </c>
      <c r="S8" s="30">
        <f t="shared" si="6"/>
        <v>11055941.442000002</v>
      </c>
      <c r="T8" s="30">
        <f t="shared" si="7"/>
        <v>-2481729.3900000006</v>
      </c>
      <c r="U8" s="31">
        <f t="shared" si="8"/>
        <v>-4.4549343238426165</v>
      </c>
    </row>
    <row r="9" spans="2:21" ht="18" customHeight="1">
      <c r="B9" s="32" t="str">
        <f>'Data Entry'!A9</f>
        <v xml:space="preserve">4. Cases Diverted </v>
      </c>
      <c r="C9" s="33">
        <f>'Data Entry'!C9</f>
        <v>7</v>
      </c>
      <c r="D9" s="34">
        <f>IF((AND(C68&gt;0,C9&gt;0)),((C9/C68)),0)</f>
        <v>2.9661016949152543</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7</v>
      </c>
      <c r="Q9" s="42">
        <f>(C$68*L68)-C9</f>
        <v>229</v>
      </c>
      <c r="R9" s="42">
        <f t="shared" si="5"/>
        <v>236</v>
      </c>
      <c r="S9" s="30">
        <f t="shared" si="6"/>
        <v>0</v>
      </c>
      <c r="T9" s="30">
        <f t="shared" si="7"/>
        <v>0</v>
      </c>
      <c r="U9" s="31" t="str">
        <f t="shared" si="8"/>
        <v>- -</v>
      </c>
    </row>
    <row r="10" spans="2:21" ht="18" customHeight="1">
      <c r="B10" s="32" t="str">
        <f>'Data Entry'!A10</f>
        <v>5. Cases Involving Secure Detention</v>
      </c>
      <c r="C10" s="33">
        <f>'Data Entry'!C10</f>
        <v>43</v>
      </c>
      <c r="D10" s="34">
        <f>IF(((AND(C68&gt;0,C10&gt;0))),(C10/(C68)),0)</f>
        <v>18.220338983050848</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43</v>
      </c>
      <c r="Q10" s="42">
        <f>(C$68*L68)-C10</f>
        <v>193</v>
      </c>
      <c r="R10" s="42">
        <f t="shared" si="5"/>
        <v>236</v>
      </c>
      <c r="S10" s="30">
        <f t="shared" si="6"/>
        <v>0</v>
      </c>
      <c r="T10" s="30">
        <f t="shared" si="7"/>
        <v>0</v>
      </c>
      <c r="U10" s="31" t="str">
        <f t="shared" si="8"/>
        <v>- -</v>
      </c>
    </row>
    <row r="11" spans="2:21" ht="18" customHeight="1">
      <c r="B11" s="32" t="str">
        <f>'Data Entry'!A11</f>
        <v>6. Cases Petitioned (Charge Filed)</v>
      </c>
      <c r="C11" s="33">
        <f>'Data Entry'!C11</f>
        <v>118</v>
      </c>
      <c r="D11" s="34">
        <f>IF(((AND(C68&gt;0,C11&gt;0))),(C11/(C68)),0)</f>
        <v>50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118</v>
      </c>
      <c r="Q11" s="42">
        <f>(C$68*L68)-C11</f>
        <v>118</v>
      </c>
      <c r="R11" s="42">
        <f t="shared" si="5"/>
        <v>236</v>
      </c>
      <c r="S11" s="30">
        <f t="shared" si="6"/>
        <v>0</v>
      </c>
      <c r="T11" s="30">
        <f t="shared" si="7"/>
        <v>0</v>
      </c>
      <c r="U11" s="31" t="str">
        <f t="shared" si="8"/>
        <v>- -</v>
      </c>
    </row>
    <row r="12" spans="2:21" ht="18" customHeight="1">
      <c r="B12" s="32" t="str">
        <f>'Data Entry'!A12</f>
        <v>7. Cases Resulting in Delinquent Findings</v>
      </c>
      <c r="C12" s="33">
        <f>'Data Entry'!C12</f>
        <v>62</v>
      </c>
      <c r="D12" s="34">
        <f>IF(((AND(C69&gt;0,C12&gt;0))),(C12/(C69)),0)</f>
        <v>52.542372881355938</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62</v>
      </c>
      <c r="Q12" s="42">
        <f>(C69*L69)-C12</f>
        <v>56</v>
      </c>
      <c r="R12" s="42">
        <f t="shared" si="5"/>
        <v>118</v>
      </c>
      <c r="S12" s="30">
        <f t="shared" si="6"/>
        <v>0</v>
      </c>
      <c r="T12" s="30">
        <f t="shared" si="7"/>
        <v>0</v>
      </c>
      <c r="U12" s="31" t="str">
        <f t="shared" si="8"/>
        <v>- -</v>
      </c>
    </row>
    <row r="13" spans="2:21" ht="18" customHeight="1">
      <c r="B13" s="32" t="str">
        <f>'Data Entry'!A13</f>
        <v>8. Cases Resulting in Probation Placement</v>
      </c>
      <c r="C13" s="33">
        <f>'Data Entry'!C13</f>
        <v>90</v>
      </c>
      <c r="D13" s="34">
        <f>IF(((AND(C70&gt;0,C13&gt;0))),(C13/(C70)),0)</f>
        <v>145.16129032258064</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90</v>
      </c>
      <c r="Q13" s="42">
        <f>(C70*L70)-C13</f>
        <v>-28</v>
      </c>
      <c r="R13" s="42">
        <f t="shared" si="5"/>
        <v>62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8</v>
      </c>
      <c r="D14" s="34">
        <f>IF(((AND(C70&gt;0,C14&gt;0))), ((C14/(C70))),0)</f>
        <v>12.903225806451614</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8</v>
      </c>
      <c r="Q14" s="42">
        <f>(C70*L70)-C14</f>
        <v>54</v>
      </c>
      <c r="R14" s="42">
        <f t="shared" si="5"/>
        <v>62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118</v>
      </c>
      <c r="R15" s="42">
        <f t="shared" si="5"/>
        <v>118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1" t="s">
        <v>79</v>
      </c>
      <c r="C40" s="211"/>
      <c r="D40" s="211"/>
      <c r="E40" s="211"/>
      <c r="F40" s="211"/>
      <c r="G40" s="211"/>
      <c r="H40" s="211"/>
      <c r="I40" s="211"/>
      <c r="J40" s="211"/>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27.565000000000001</v>
      </c>
      <c r="D42" s="56">
        <f>E6/1000</f>
        <v>0.51200000000000001</v>
      </c>
      <c r="E42" s="56">
        <f>MAX(C42:D42)</f>
        <v>27.565000000000001</v>
      </c>
      <c r="G42" s="1" t="str">
        <f>B42</f>
        <v>per 1000 youth</v>
      </c>
      <c r="L42" s="57">
        <v>1000</v>
      </c>
      <c r="M42" s="57"/>
      <c r="R42" s="49"/>
    </row>
    <row r="43" spans="2:18" ht="15" hidden="1" customHeight="1">
      <c r="B43" s="49" t="s">
        <v>87</v>
      </c>
      <c r="C43" s="56">
        <f>C7/100</f>
        <v>1.79</v>
      </c>
      <c r="D43" s="56">
        <f>E7/100</f>
        <v>0.01</v>
      </c>
      <c r="E43" s="56">
        <f>MAX(C43:D43,0)</f>
        <v>1.79</v>
      </c>
      <c r="G43" s="1" t="str">
        <f>B43</f>
        <v>per 100 arrests</v>
      </c>
      <c r="L43" s="57">
        <v>100</v>
      </c>
      <c r="M43" s="57"/>
      <c r="R43" s="49"/>
    </row>
    <row r="44" spans="2:18" ht="15" hidden="1" customHeight="1">
      <c r="B44" s="49" t="s">
        <v>88</v>
      </c>
      <c r="C44" s="56">
        <f>C8/100</f>
        <v>2.36</v>
      </c>
      <c r="D44" s="56">
        <f>E8/100</f>
        <v>0</v>
      </c>
      <c r="E44" s="56">
        <f>MAX(C44:D44,0)</f>
        <v>2.36</v>
      </c>
      <c r="G44" s="1" t="str">
        <f>B44</f>
        <v>per 100 referrals</v>
      </c>
      <c r="L44" s="57">
        <v>100</v>
      </c>
      <c r="M44" s="57"/>
      <c r="R44" s="49"/>
    </row>
    <row r="45" spans="2:18" ht="15" hidden="1" customHeight="1">
      <c r="B45" s="49" t="s">
        <v>89</v>
      </c>
      <c r="C45" s="49">
        <f>C11/100</f>
        <v>1.18</v>
      </c>
      <c r="D45" s="49">
        <f>E11/100</f>
        <v>0</v>
      </c>
      <c r="E45" s="56">
        <f>MAX(C45:D45,0)</f>
        <v>1.18</v>
      </c>
      <c r="G45" s="1" t="str">
        <f>B45</f>
        <v>per 100 youth petitioned</v>
      </c>
      <c r="L45" s="57">
        <v>100</v>
      </c>
      <c r="M45" s="57"/>
      <c r="R45" s="49"/>
    </row>
    <row r="46" spans="2:18" ht="15" hidden="1" customHeight="1">
      <c r="B46" s="49" t="s">
        <v>90</v>
      </c>
      <c r="C46" s="49">
        <f>C12/100</f>
        <v>0.62</v>
      </c>
      <c r="D46" s="49">
        <f>E12/100</f>
        <v>0</v>
      </c>
      <c r="E46" s="56">
        <f>MAX(C46:D46)</f>
        <v>0.62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27.565000000000001</v>
      </c>
      <c r="D48" s="56">
        <f>D42</f>
        <v>0.51200000000000001</v>
      </c>
      <c r="E48" s="56">
        <f>MAX(C48:D48)</f>
        <v>27.565000000000001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1.79</v>
      </c>
      <c r="D49" s="49">
        <f t="shared" si="9"/>
        <v>0.01</v>
      </c>
      <c r="E49" s="49">
        <f>MAX(C49:D49)</f>
        <v>1.79</v>
      </c>
      <c r="G49" s="1" t="str">
        <f>G43</f>
        <v>per 100 arrests</v>
      </c>
      <c r="L49" s="58">
        <f>IF(($E43&gt;0),L43,L42)</f>
        <v>100</v>
      </c>
      <c r="M49" s="58"/>
      <c r="N49" s="21"/>
      <c r="O49" s="21"/>
      <c r="P49" s="21"/>
      <c r="Q49" s="21"/>
      <c r="R49" s="21"/>
    </row>
    <row r="50" spans="2:18" ht="15" hidden="1" customHeight="1">
      <c r="B50" s="49" t="str">
        <f t="shared" si="9"/>
        <v>per 100 referrals</v>
      </c>
      <c r="C50" s="49">
        <f t="shared" si="9"/>
        <v>2.36</v>
      </c>
      <c r="D50" s="49">
        <f t="shared" si="9"/>
        <v>0</v>
      </c>
      <c r="E50" s="49">
        <f>MAX(C50:D50)</f>
        <v>2.36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1.18</v>
      </c>
      <c r="D51" s="49">
        <f>IF(($E45&gt;0),D45,D44)</f>
        <v>0</v>
      </c>
      <c r="E51" s="49">
        <f>MAX(C51:D51)</f>
        <v>1.18</v>
      </c>
      <c r="G51" s="1" t="str">
        <f>G45</f>
        <v>per 100 youth petitioned</v>
      </c>
      <c r="L51" s="58">
        <f>IF(($E45&gt;0),L45,L44)</f>
        <v>100</v>
      </c>
      <c r="M51" s="58"/>
    </row>
    <row r="52" spans="2:18" ht="15" hidden="1" customHeight="1">
      <c r="B52" s="49" t="str">
        <f>IF(($E46&gt;0),B46,B45)</f>
        <v>per 100 youth found delinquent</v>
      </c>
      <c r="C52" s="49">
        <f>IF(($E46&gt;0),C46,C45)</f>
        <v>0.62</v>
      </c>
      <c r="D52" s="49">
        <f>IF(($E46&gt;0),D46,D45)</f>
        <v>0</v>
      </c>
      <c r="E52" s="56">
        <f>MAX(C52:D52)</f>
        <v>0.62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27.565000000000001</v>
      </c>
      <c r="D54" s="56">
        <f>D48</f>
        <v>0.51200000000000001</v>
      </c>
      <c r="E54" s="56">
        <f>MAX(C54:D54)</f>
        <v>27.565000000000001</v>
      </c>
      <c r="G54" s="1" t="str">
        <f>G48</f>
        <v>per 1000 youth</v>
      </c>
      <c r="L54" s="58">
        <f>L48</f>
        <v>1000</v>
      </c>
      <c r="M54" s="58"/>
    </row>
    <row r="55" spans="2:18" ht="15" hidden="1" customHeight="1">
      <c r="B55" s="49" t="str">
        <f t="shared" ref="B55:D56" si="10">IF(($E49&gt;0),B49,B48)</f>
        <v>per 100 arrests</v>
      </c>
      <c r="C55" s="49">
        <f t="shared" si="10"/>
        <v>1.79</v>
      </c>
      <c r="D55" s="49">
        <f t="shared" si="10"/>
        <v>0.01</v>
      </c>
      <c r="E55" s="49">
        <f>MAX(C55:D55)</f>
        <v>1.79</v>
      </c>
      <c r="G55" s="1" t="str">
        <f>G49</f>
        <v>per 100 arrests</v>
      </c>
      <c r="L55" s="58">
        <f>IF(($E49&gt;0),L49,L48)</f>
        <v>100</v>
      </c>
      <c r="M55" s="58"/>
    </row>
    <row r="56" spans="2:18" ht="15" hidden="1" customHeight="1">
      <c r="B56" s="49" t="str">
        <f t="shared" si="10"/>
        <v>per 100 referrals</v>
      </c>
      <c r="C56" s="49">
        <f t="shared" si="10"/>
        <v>2.36</v>
      </c>
      <c r="D56" s="49">
        <f t="shared" si="10"/>
        <v>0</v>
      </c>
      <c r="E56" s="49">
        <f>MAX(C56:D56)</f>
        <v>2.36</v>
      </c>
      <c r="G56" s="1" t="str">
        <f>G50</f>
        <v>per 100 referrals</v>
      </c>
      <c r="L56" s="58">
        <f>IF(($E50&gt;0),L50,L49)</f>
        <v>100</v>
      </c>
      <c r="M56" s="58"/>
    </row>
    <row r="57" spans="2:18" ht="15" hidden="1" customHeight="1">
      <c r="B57" s="49" t="str">
        <f>IF(($E51&gt;0),B51,B49)</f>
        <v>per 100 youth petitioned</v>
      </c>
      <c r="C57" s="49">
        <f>IF(($E51&gt;0),C51,C50)</f>
        <v>1.18</v>
      </c>
      <c r="D57" s="49">
        <f>IF(($E51&gt;0),D51,D50)</f>
        <v>0</v>
      </c>
      <c r="E57" s="49">
        <f>MAX(C57:D57)</f>
        <v>1.18</v>
      </c>
      <c r="G57" s="1" t="str">
        <f>G51</f>
        <v>per 100 youth petitioned</v>
      </c>
      <c r="L57" s="58">
        <f>IF(($E51&gt;0),L51,L50)</f>
        <v>100</v>
      </c>
      <c r="M57" s="58"/>
    </row>
    <row r="58" spans="2:18" ht="15" hidden="1" customHeight="1">
      <c r="B58" s="49" t="str">
        <f>IF(($E52&gt;0),B52,B51)</f>
        <v>per 100 youth found delinquent</v>
      </c>
      <c r="C58" s="49">
        <f>IF(($E52&gt;0),C52,C51)</f>
        <v>0.62</v>
      </c>
      <c r="D58" s="49">
        <f>IF(($E52&gt;0),D52,D51)</f>
        <v>0</v>
      </c>
      <c r="E58" s="56">
        <f>MAX(C58:D58)</f>
        <v>0.62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27.565000000000001</v>
      </c>
      <c r="D60" s="56">
        <f>D54</f>
        <v>0.51200000000000001</v>
      </c>
      <c r="E60" s="56">
        <f>MAX(C60:D60)</f>
        <v>27.565000000000001</v>
      </c>
      <c r="G60" s="1" t="str">
        <f>G54</f>
        <v>per 1000 youth</v>
      </c>
      <c r="L60" s="58">
        <f>L54</f>
        <v>1000</v>
      </c>
      <c r="M60" s="58"/>
    </row>
    <row r="61" spans="2:18" ht="15" hidden="1" customHeight="1">
      <c r="B61" s="49" t="str">
        <f t="shared" ref="B61:D62" si="11">IF(($E55&gt;0),B55,B54)</f>
        <v>per 100 arrests</v>
      </c>
      <c r="C61" s="49">
        <f t="shared" si="11"/>
        <v>1.79</v>
      </c>
      <c r="D61" s="49">
        <f t="shared" si="11"/>
        <v>0.01</v>
      </c>
      <c r="E61" s="49">
        <f>MAX(C61:D61)</f>
        <v>1.79</v>
      </c>
      <c r="G61" s="1" t="str">
        <f>G55</f>
        <v>per 100 arrests</v>
      </c>
      <c r="L61" s="58">
        <f>IF(($E55&gt;0),L55,L54)</f>
        <v>100</v>
      </c>
      <c r="M61" s="58"/>
    </row>
    <row r="62" spans="2:18" ht="15" hidden="1" customHeight="1">
      <c r="B62" s="49" t="str">
        <f t="shared" si="11"/>
        <v>per 100 referrals</v>
      </c>
      <c r="C62" s="49">
        <f t="shared" si="11"/>
        <v>2.36</v>
      </c>
      <c r="D62" s="49">
        <f t="shared" si="11"/>
        <v>0</v>
      </c>
      <c r="E62" s="49">
        <f>MAX(C62:D62)</f>
        <v>2.36</v>
      </c>
      <c r="G62" s="1" t="str">
        <f>G56</f>
        <v>per 100 referrals</v>
      </c>
      <c r="L62" s="58">
        <f>IF(($E56&gt;0),L56,L55)</f>
        <v>100</v>
      </c>
      <c r="M62" s="58"/>
    </row>
    <row r="63" spans="2:18" ht="15" hidden="1" customHeight="1">
      <c r="B63" s="49" t="str">
        <f>IF(($E57&gt;0),B57,B55)</f>
        <v>per 100 youth petitioned</v>
      </c>
      <c r="C63" s="49">
        <f>IF(($E57&gt;0),C57,C56)</f>
        <v>1.18</v>
      </c>
      <c r="D63" s="49">
        <f>IF(($E57&gt;0),D57,D56)</f>
        <v>0</v>
      </c>
      <c r="E63" s="49">
        <f>MAX(C63:D63)</f>
        <v>1.18</v>
      </c>
      <c r="G63" s="1" t="str">
        <f>G57</f>
        <v>per 100 youth petitioned</v>
      </c>
      <c r="L63" s="58">
        <f>IF(($E57&gt;0),L57,L56)</f>
        <v>100</v>
      </c>
      <c r="M63" s="58"/>
    </row>
    <row r="64" spans="2:18" ht="15" hidden="1" customHeight="1">
      <c r="B64" s="49" t="str">
        <f>IF(($E58&gt;0),B58,B57)</f>
        <v>per 100 youth found delinquent</v>
      </c>
      <c r="C64" s="49">
        <f>IF(($E58&gt;0),C58,C57)</f>
        <v>0.62</v>
      </c>
      <c r="D64" s="49">
        <f>IF(($E58&gt;0),D58,D57)</f>
        <v>0</v>
      </c>
      <c r="E64" s="56">
        <f>MAX(C64:D64)</f>
        <v>0.62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27.565000000000001</v>
      </c>
      <c r="D66" s="56">
        <f>D60</f>
        <v>0.51200000000000001</v>
      </c>
      <c r="E66" s="56">
        <f>MAX(C66:D66)</f>
        <v>27.565000000000001</v>
      </c>
      <c r="G66" s="1" t="str">
        <f>G60</f>
        <v>per 1000 youth</v>
      </c>
      <c r="L66" s="58">
        <f>L60</f>
        <v>1000</v>
      </c>
      <c r="M66" s="58">
        <f>IF((B66=G66),1,2)</f>
        <v>1</v>
      </c>
    </row>
    <row r="67" spans="2:13" ht="15" hidden="1" customHeight="1">
      <c r="B67" s="49" t="str">
        <f t="shared" ref="B67:D68" si="12">IF(($E61&gt;0),B61,B60)</f>
        <v>per 100 arrests</v>
      </c>
      <c r="C67" s="49">
        <f t="shared" si="12"/>
        <v>1.79</v>
      </c>
      <c r="D67" s="49">
        <f t="shared" si="12"/>
        <v>0.01</v>
      </c>
      <c r="E67" s="49">
        <f>MAX(C67:D67)</f>
        <v>1.79</v>
      </c>
      <c r="G67" s="1" t="str">
        <f>G61</f>
        <v>per 100 arrests</v>
      </c>
      <c r="L67" s="58">
        <f>IF(($E61&gt;0),L61,L60)</f>
        <v>100</v>
      </c>
      <c r="M67" s="58">
        <f>IF((B67=G67),1,2)</f>
        <v>1</v>
      </c>
    </row>
    <row r="68" spans="2:13" ht="15" hidden="1" customHeight="1">
      <c r="B68" s="49" t="str">
        <f t="shared" si="12"/>
        <v>per 100 referrals</v>
      </c>
      <c r="C68" s="49">
        <f t="shared" si="12"/>
        <v>2.36</v>
      </c>
      <c r="D68" s="49">
        <f t="shared" si="12"/>
        <v>0</v>
      </c>
      <c r="E68" s="49">
        <f>MAX(C68:D68)</f>
        <v>2.36</v>
      </c>
      <c r="G68" s="1" t="str">
        <f>G62</f>
        <v>per 100 referrals</v>
      </c>
      <c r="L68" s="58">
        <f>IF(($E62&gt;0),L62,L61)</f>
        <v>100</v>
      </c>
      <c r="M68" s="58">
        <f>IF((B68=G68),1,2)</f>
        <v>1</v>
      </c>
    </row>
    <row r="69" spans="2:13" ht="15" hidden="1" customHeight="1">
      <c r="B69" s="49" t="str">
        <f>IF(($E63&gt;0),B63,B61)</f>
        <v>per 100 youth petitioned</v>
      </c>
      <c r="C69" s="49">
        <f>IF(($E63&gt;0),C63,C62)</f>
        <v>1.18</v>
      </c>
      <c r="D69" s="49">
        <f>IF(($E63&gt;0),D63,D62)</f>
        <v>0</v>
      </c>
      <c r="E69" s="49">
        <f>MAX(C69:D69)</f>
        <v>1.18</v>
      </c>
      <c r="G69" s="1" t="str">
        <f>G63</f>
        <v>per 100 youth petitioned</v>
      </c>
      <c r="L69" s="58">
        <f>IF(($E63&gt;0),L63,L62)</f>
        <v>100</v>
      </c>
      <c r="M69" s="58">
        <f>IF((B69=G69),1,2)</f>
        <v>1</v>
      </c>
    </row>
    <row r="70" spans="2:13" ht="15" hidden="1" customHeight="1">
      <c r="B70" s="49" t="str">
        <f>IF(($E64&gt;0),B64,B63)</f>
        <v>per 100 youth found delinquent</v>
      </c>
      <c r="C70" s="49">
        <f>IF(($E64&gt;0),C64,C63)</f>
        <v>0.62</v>
      </c>
      <c r="D70" s="49">
        <f>IF(($E64&gt;0),D64,D63)</f>
        <v>0</v>
      </c>
      <c r="E70" s="56">
        <f>MAX(C70:D70)</f>
        <v>0.62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3" t="str">
        <f>'Data Entry'!E5</f>
        <v>Hispanic or Latino</v>
      </c>
      <c r="G1" s="213"/>
      <c r="H1" s="213"/>
      <c r="I1" s="213"/>
      <c r="J1" s="213"/>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Genesee</v>
      </c>
      <c r="C3" s="22"/>
      <c r="D3" s="22"/>
      <c r="E3" s="22"/>
      <c r="F3" s="22"/>
      <c r="G3" s="7"/>
      <c r="H3" s="7"/>
      <c r="I3" s="7"/>
      <c r="J3" s="7"/>
      <c r="K3" s="7"/>
      <c r="N3" s="212" t="s">
        <v>31</v>
      </c>
      <c r="O3" s="212"/>
      <c r="P3" s="212"/>
      <c r="Q3" s="212"/>
      <c r="R3" s="212"/>
      <c r="S3" s="212"/>
      <c r="T3" s="212"/>
      <c r="U3" s="212"/>
    </row>
    <row r="4" spans="2:21" ht="24.75" customHeight="1">
      <c r="B4" s="4"/>
      <c r="C4" s="23"/>
      <c r="D4" s="23"/>
      <c r="E4" s="23"/>
      <c r="F4" s="23"/>
      <c r="G4" s="8"/>
      <c r="H4" s="8"/>
      <c r="I4" s="8"/>
      <c r="N4" s="212"/>
      <c r="O4" s="212"/>
      <c r="P4" s="212"/>
      <c r="Q4" s="212"/>
      <c r="R4" s="212"/>
      <c r="S4" s="212"/>
      <c r="T4" s="212"/>
      <c r="U4" s="212"/>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27565</v>
      </c>
      <c r="D6" s="34"/>
      <c r="E6" s="33">
        <f>'Data Entry'!E6</f>
        <v>2457</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179</v>
      </c>
      <c r="D7" s="34">
        <f>IF((AND(C66&gt;0,C7&gt;0)),(C7/C66),0)</f>
        <v>6.4937420642118626</v>
      </c>
      <c r="E7" s="33">
        <f>'Data Entry'!E7</f>
        <v>5</v>
      </c>
      <c r="F7" s="34">
        <f>IF((AND($E$7&gt;0,$D$66&gt;0)),($E$7/$D$66),0)</f>
        <v>2.035002035002035</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5</v>
      </c>
      <c r="O7" s="42">
        <f>E6-E7</f>
        <v>2452</v>
      </c>
      <c r="P7" s="42">
        <f t="shared" ref="P7:P15" si="4">C7</f>
        <v>179</v>
      </c>
      <c r="Q7" s="42">
        <f>C6-C7</f>
        <v>27386</v>
      </c>
      <c r="R7" s="42">
        <f t="shared" ref="R7:R15" si="5">SUM(N7:Q7)</f>
        <v>30022</v>
      </c>
      <c r="S7" s="30">
        <f t="shared" ref="S7:S15" si="6">R7*((((N7*Q7)-(O7*P7))^2))</f>
        <v>2737727570194648</v>
      </c>
      <c r="T7" s="30">
        <f t="shared" ref="T7:T15" si="7">(N7+O7)*(P7+Q7)*(N7+P7)*(O7+Q7)</f>
        <v>371835359073360</v>
      </c>
      <c r="U7" s="31">
        <f t="shared" ref="U7:U15" si="8">IF((S7&gt;0),S7/T7,"- -")</f>
        <v>7.3627413407300981</v>
      </c>
    </row>
    <row r="8" spans="2:21" ht="18" customHeight="1">
      <c r="B8" s="32" t="str">
        <f>'Data Entry'!A8</f>
        <v>3. Refer to Juvenile Court</v>
      </c>
      <c r="C8" s="33">
        <f>'Data Entry'!C8</f>
        <v>236</v>
      </c>
      <c r="D8" s="34">
        <f>IF((AND(C67&gt;0,C8&gt;0)),(C8/C67),0)</f>
        <v>131.84357541899442</v>
      </c>
      <c r="E8" s="33">
        <f>'Data Entry'!E8</f>
        <v>1</v>
      </c>
      <c r="F8" s="34">
        <f>IF((AND($E$8&gt;0,$D$67&gt;0)),($E8/$D67),0)</f>
        <v>20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v>
      </c>
      <c r="O8" s="42">
        <f>((D67*L67)-E8)+0.05</f>
        <v>4.05</v>
      </c>
      <c r="P8" s="42">
        <f t="shared" si="4"/>
        <v>236</v>
      </c>
      <c r="Q8" s="42">
        <f>(C$67*L67)-C8</f>
        <v>-57</v>
      </c>
      <c r="R8" s="42">
        <f t="shared" si="5"/>
        <v>184.05</v>
      </c>
      <c r="S8" s="30">
        <f t="shared" si="6"/>
        <v>188791834.75199997</v>
      </c>
      <c r="T8" s="30">
        <f t="shared" si="7"/>
        <v>-11343804.1425</v>
      </c>
      <c r="U8" s="31">
        <f t="shared" si="8"/>
        <v>-16.642726935374711</v>
      </c>
    </row>
    <row r="9" spans="2:21" ht="18" customHeight="1">
      <c r="B9" s="32" t="str">
        <f>'Data Entry'!A9</f>
        <v xml:space="preserve">4. Cases Diverted </v>
      </c>
      <c r="C9" s="33">
        <f>'Data Entry'!C9</f>
        <v>7</v>
      </c>
      <c r="D9" s="34">
        <f>IF((AND(C68&gt;0,C9&gt;0)),((C9/C68)),0)</f>
        <v>2.9661016949152543</v>
      </c>
      <c r="E9" s="33">
        <f>'Data Entry'!E9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v>
      </c>
      <c r="P9" s="42">
        <f t="shared" si="4"/>
        <v>7</v>
      </c>
      <c r="Q9" s="42">
        <f>(C$68*L68)-C9</f>
        <v>229</v>
      </c>
      <c r="R9" s="42">
        <f t="shared" si="5"/>
        <v>237</v>
      </c>
      <c r="S9" s="30">
        <f t="shared" si="6"/>
        <v>11613</v>
      </c>
      <c r="T9" s="30">
        <f t="shared" si="7"/>
        <v>379960</v>
      </c>
      <c r="U9" s="31">
        <f t="shared" si="8"/>
        <v>3.0563743551952838E-2</v>
      </c>
    </row>
    <row r="10" spans="2:21" ht="18" customHeight="1">
      <c r="B10" s="32" t="str">
        <f>'Data Entry'!A10</f>
        <v>5. Cases Involving Secure Detention</v>
      </c>
      <c r="C10" s="33">
        <f>'Data Entry'!C10</f>
        <v>43</v>
      </c>
      <c r="D10" s="34">
        <f>IF(((AND(C68&gt;0,C10&gt;0))),(C10/(C68)),0)</f>
        <v>18.220338983050848</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43</v>
      </c>
      <c r="Q10" s="42">
        <f>(C$68*L68)-C10</f>
        <v>193</v>
      </c>
      <c r="R10" s="42">
        <f t="shared" si="5"/>
        <v>237</v>
      </c>
      <c r="S10" s="30">
        <f t="shared" si="6"/>
        <v>438213</v>
      </c>
      <c r="T10" s="30">
        <f t="shared" si="7"/>
        <v>1968712</v>
      </c>
      <c r="U10" s="31">
        <f t="shared" si="8"/>
        <v>0.22258867726716758</v>
      </c>
    </row>
    <row r="11" spans="2:21" ht="18" customHeight="1">
      <c r="B11" s="32" t="str">
        <f>'Data Entry'!A11</f>
        <v>6. Cases Petitioned (Charge Filed)</v>
      </c>
      <c r="C11" s="33">
        <f>'Data Entry'!C11</f>
        <v>118</v>
      </c>
      <c r="D11" s="34">
        <f>IF(((AND(C68&gt;0,C11&gt;0))),(C11/(C68)),0)</f>
        <v>50</v>
      </c>
      <c r="E11" s="33">
        <f>'Data Entry'!E11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0</v>
      </c>
      <c r="P11" s="42">
        <f t="shared" si="4"/>
        <v>118</v>
      </c>
      <c r="Q11" s="42">
        <f>(C$68*L68)-C11</f>
        <v>118</v>
      </c>
      <c r="R11" s="42">
        <f t="shared" si="5"/>
        <v>237</v>
      </c>
      <c r="S11" s="30">
        <f t="shared" si="6"/>
        <v>3299988</v>
      </c>
      <c r="T11" s="30">
        <f t="shared" si="7"/>
        <v>3313912</v>
      </c>
      <c r="U11" s="31">
        <f t="shared" si="8"/>
        <v>0.99579831932773111</v>
      </c>
    </row>
    <row r="12" spans="2:21" ht="18" customHeight="1">
      <c r="B12" s="32" t="str">
        <f>'Data Entry'!A12</f>
        <v>7. Cases Resulting in Delinquent Findings</v>
      </c>
      <c r="C12" s="33">
        <f>'Data Entry'!C12</f>
        <v>62</v>
      </c>
      <c r="D12" s="34">
        <f>IF(((AND(C69&gt;0,C12&gt;0))),(C12/(C69)),0)</f>
        <v>52.542372881355938</v>
      </c>
      <c r="E12" s="33">
        <f>'Data Entry'!E12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1</v>
      </c>
      <c r="P12" s="42">
        <f t="shared" si="4"/>
        <v>62</v>
      </c>
      <c r="Q12" s="42">
        <f>(C69*L69)-C12</f>
        <v>56</v>
      </c>
      <c r="R12" s="42">
        <f t="shared" si="5"/>
        <v>119</v>
      </c>
      <c r="S12" s="30">
        <f t="shared" si="6"/>
        <v>457436</v>
      </c>
      <c r="T12" s="30">
        <f t="shared" si="7"/>
        <v>417012</v>
      </c>
      <c r="U12" s="31">
        <f t="shared" si="8"/>
        <v>1.0969372584002379</v>
      </c>
    </row>
    <row r="13" spans="2:21" ht="18" customHeight="1">
      <c r="B13" s="32" t="str">
        <f>'Data Entry'!A13</f>
        <v>8. Cases Resulting in Probation Placement</v>
      </c>
      <c r="C13" s="33">
        <f>'Data Entry'!C13</f>
        <v>90</v>
      </c>
      <c r="D13" s="34">
        <f>IF(((AND(C70&gt;0,C13&gt;0))),(C13/(C70)),0)</f>
        <v>145.16129032258064</v>
      </c>
      <c r="E13" s="33">
        <f>'Data Entry'!E13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90</v>
      </c>
      <c r="Q13" s="42">
        <f>(C70*L70)-C13</f>
        <v>-28</v>
      </c>
      <c r="R13" s="42">
        <f t="shared" si="5"/>
        <v>62</v>
      </c>
      <c r="S13" s="30">
        <f t="shared" si="6"/>
        <v>238328</v>
      </c>
      <c r="T13" s="30">
        <f t="shared" si="7"/>
        <v>0</v>
      </c>
      <c r="U13" s="31" t="e">
        <f t="shared" si="8"/>
        <v>#DIV/0!</v>
      </c>
    </row>
    <row r="14" spans="2:21" ht="30.75" customHeight="1">
      <c r="B14" s="32" t="str">
        <f>'Data Entry'!A14</f>
        <v xml:space="preserve">9. Cases Resulting in Confinement in Secure Juvenile Correctional Facilities </v>
      </c>
      <c r="C14" s="33">
        <f>'Data Entry'!C14</f>
        <v>8</v>
      </c>
      <c r="D14" s="34">
        <f>IF(((AND(C70&gt;0,C14&gt;0))), ((C14/(C70))),0)</f>
        <v>12.903225806451614</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8</v>
      </c>
      <c r="Q14" s="42">
        <f>(C70*L70)-C14</f>
        <v>54</v>
      </c>
      <c r="R14" s="42">
        <f t="shared" si="5"/>
        <v>62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118</v>
      </c>
      <c r="R15" s="42">
        <f t="shared" si="5"/>
        <v>119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1" t="s">
        <v>79</v>
      </c>
      <c r="C40" s="211"/>
      <c r="D40" s="211"/>
      <c r="E40" s="211"/>
      <c r="F40" s="211"/>
      <c r="G40" s="211"/>
      <c r="H40" s="211"/>
      <c r="I40" s="211"/>
      <c r="J40" s="211"/>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27.565000000000001</v>
      </c>
      <c r="D42" s="56">
        <f>E6/1000</f>
        <v>2.4569999999999999</v>
      </c>
      <c r="E42" s="56">
        <f>MAX(C42:D42)</f>
        <v>27.565000000000001</v>
      </c>
      <c r="G42" s="1" t="str">
        <f>B42</f>
        <v>per 1000 youth</v>
      </c>
      <c r="L42" s="57">
        <v>1000</v>
      </c>
      <c r="M42" s="57"/>
      <c r="R42" s="49"/>
    </row>
    <row r="43" spans="2:18" ht="15" hidden="1" customHeight="1">
      <c r="B43" s="49" t="s">
        <v>87</v>
      </c>
      <c r="C43" s="56">
        <f>C7/100</f>
        <v>1.79</v>
      </c>
      <c r="D43" s="56">
        <f>E7/100</f>
        <v>0.05</v>
      </c>
      <c r="E43" s="56">
        <f>MAX(C43:D43,0)</f>
        <v>1.79</v>
      </c>
      <c r="G43" s="1" t="str">
        <f>B43</f>
        <v>per 100 arrests</v>
      </c>
      <c r="L43" s="57">
        <v>100</v>
      </c>
      <c r="M43" s="57"/>
      <c r="R43" s="49"/>
    </row>
    <row r="44" spans="2:18" ht="15" hidden="1" customHeight="1">
      <c r="B44" s="49" t="s">
        <v>88</v>
      </c>
      <c r="C44" s="56">
        <f>C8/100</f>
        <v>2.36</v>
      </c>
      <c r="D44" s="56">
        <f>E8/100</f>
        <v>0.01</v>
      </c>
      <c r="E44" s="56">
        <f>MAX(C44:D44,0)</f>
        <v>2.36</v>
      </c>
      <c r="G44" s="1" t="str">
        <f>B44</f>
        <v>per 100 referrals</v>
      </c>
      <c r="L44" s="57">
        <v>100</v>
      </c>
      <c r="M44" s="57"/>
      <c r="R44" s="49"/>
    </row>
    <row r="45" spans="2:18" ht="15" hidden="1" customHeight="1">
      <c r="B45" s="49" t="s">
        <v>89</v>
      </c>
      <c r="C45" s="49">
        <f>C11/100</f>
        <v>1.18</v>
      </c>
      <c r="D45" s="49">
        <f>E11/100</f>
        <v>0.01</v>
      </c>
      <c r="E45" s="56">
        <f>MAX(C45:D45,0)</f>
        <v>1.18</v>
      </c>
      <c r="G45" s="1" t="str">
        <f>B45</f>
        <v>per 100 youth petitioned</v>
      </c>
      <c r="L45" s="57">
        <v>100</v>
      </c>
      <c r="M45" s="57"/>
      <c r="R45" s="49"/>
    </row>
    <row r="46" spans="2:18" ht="15" hidden="1" customHeight="1">
      <c r="B46" s="49" t="s">
        <v>90</v>
      </c>
      <c r="C46" s="49">
        <f>C12/100</f>
        <v>0.62</v>
      </c>
      <c r="D46" s="49">
        <f>E12/100</f>
        <v>0</v>
      </c>
      <c r="E46" s="56">
        <f>MAX(C46:D46)</f>
        <v>0.62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27.565000000000001</v>
      </c>
      <c r="D48" s="56">
        <f>D42</f>
        <v>2.4569999999999999</v>
      </c>
      <c r="E48" s="56">
        <f>MAX(C48:D48)</f>
        <v>27.565000000000001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1.79</v>
      </c>
      <c r="D49" s="49">
        <f t="shared" si="9"/>
        <v>0.05</v>
      </c>
      <c r="E49" s="49">
        <f>MAX(C49:D49)</f>
        <v>1.79</v>
      </c>
      <c r="G49" s="1" t="str">
        <f>G43</f>
        <v>per 100 arrests</v>
      </c>
      <c r="L49" s="58">
        <f>IF(($E43&gt;0),L43,L42)</f>
        <v>100</v>
      </c>
      <c r="M49" s="58"/>
      <c r="N49" s="21"/>
      <c r="O49" s="21"/>
      <c r="P49" s="21"/>
      <c r="Q49" s="21"/>
      <c r="R49" s="21"/>
    </row>
    <row r="50" spans="2:18" ht="15" hidden="1" customHeight="1">
      <c r="B50" s="49" t="str">
        <f t="shared" si="9"/>
        <v>per 100 referrals</v>
      </c>
      <c r="C50" s="49">
        <f t="shared" si="9"/>
        <v>2.36</v>
      </c>
      <c r="D50" s="49">
        <f t="shared" si="9"/>
        <v>0.01</v>
      </c>
      <c r="E50" s="49">
        <f>MAX(C50:D50)</f>
        <v>2.36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1.18</v>
      </c>
      <c r="D51" s="49">
        <f>IF(($E45&gt;0),D45,D44)</f>
        <v>0.01</v>
      </c>
      <c r="E51" s="49">
        <f>MAX(C51:D51)</f>
        <v>1.18</v>
      </c>
      <c r="G51" s="1" t="str">
        <f>G45</f>
        <v>per 100 youth petitioned</v>
      </c>
      <c r="L51" s="58">
        <f>IF(($E45&gt;0),L45,L44)</f>
        <v>100</v>
      </c>
      <c r="M51" s="58"/>
    </row>
    <row r="52" spans="2:18" ht="15" hidden="1" customHeight="1">
      <c r="B52" s="49" t="str">
        <f>IF(($E46&gt;0),B46,B45)</f>
        <v>per 100 youth found delinquent</v>
      </c>
      <c r="C52" s="49">
        <f>IF(($E46&gt;0),C46,C45)</f>
        <v>0.62</v>
      </c>
      <c r="D52" s="49">
        <f>IF(($E46&gt;0),D46,D45)</f>
        <v>0</v>
      </c>
      <c r="E52" s="56">
        <f>MAX(C52:D52)</f>
        <v>0.62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27.565000000000001</v>
      </c>
      <c r="D54" s="56">
        <f>D48</f>
        <v>2.4569999999999999</v>
      </c>
      <c r="E54" s="56">
        <f>MAX(C54:D54)</f>
        <v>27.565000000000001</v>
      </c>
      <c r="G54" s="1" t="str">
        <f>G48</f>
        <v>per 1000 youth</v>
      </c>
      <c r="L54" s="58">
        <f>L48</f>
        <v>1000</v>
      </c>
      <c r="M54" s="58"/>
    </row>
    <row r="55" spans="2:18" ht="15" hidden="1" customHeight="1">
      <c r="B55" s="49" t="str">
        <f t="shared" ref="B55:D56" si="10">IF(($E49&gt;0),B49,B48)</f>
        <v>per 100 arrests</v>
      </c>
      <c r="C55" s="49">
        <f t="shared" si="10"/>
        <v>1.79</v>
      </c>
      <c r="D55" s="49">
        <f t="shared" si="10"/>
        <v>0.05</v>
      </c>
      <c r="E55" s="49">
        <f>MAX(C55:D55)</f>
        <v>1.79</v>
      </c>
      <c r="G55" s="1" t="str">
        <f>G49</f>
        <v>per 100 arrests</v>
      </c>
      <c r="L55" s="58">
        <f>IF(($E49&gt;0),L49,L48)</f>
        <v>100</v>
      </c>
      <c r="M55" s="58"/>
    </row>
    <row r="56" spans="2:18" ht="15" hidden="1" customHeight="1">
      <c r="B56" s="49" t="str">
        <f t="shared" si="10"/>
        <v>per 100 referrals</v>
      </c>
      <c r="C56" s="49">
        <f t="shared" si="10"/>
        <v>2.36</v>
      </c>
      <c r="D56" s="49">
        <f t="shared" si="10"/>
        <v>0.01</v>
      </c>
      <c r="E56" s="49">
        <f>MAX(C56:D56)</f>
        <v>2.36</v>
      </c>
      <c r="G56" s="1" t="str">
        <f>G50</f>
        <v>per 100 referrals</v>
      </c>
      <c r="L56" s="58">
        <f>IF(($E50&gt;0),L50,L49)</f>
        <v>100</v>
      </c>
      <c r="M56" s="58"/>
    </row>
    <row r="57" spans="2:18" ht="15" hidden="1" customHeight="1">
      <c r="B57" s="49" t="str">
        <f>IF(($E51&gt;0),B51,B49)</f>
        <v>per 100 youth petitioned</v>
      </c>
      <c r="C57" s="49">
        <f>IF(($E51&gt;0),C51,C50)</f>
        <v>1.18</v>
      </c>
      <c r="D57" s="49">
        <f>IF(($E51&gt;0),D51,D50)</f>
        <v>0.01</v>
      </c>
      <c r="E57" s="49">
        <f>MAX(C57:D57)</f>
        <v>1.18</v>
      </c>
      <c r="G57" s="1" t="str">
        <f>G51</f>
        <v>per 100 youth petitioned</v>
      </c>
      <c r="L57" s="58">
        <f>IF(($E51&gt;0),L51,L50)</f>
        <v>100</v>
      </c>
      <c r="M57" s="58"/>
    </row>
    <row r="58" spans="2:18" ht="15" hidden="1" customHeight="1">
      <c r="B58" s="49" t="str">
        <f>IF(($E52&gt;0),B52,B51)</f>
        <v>per 100 youth found delinquent</v>
      </c>
      <c r="C58" s="49">
        <f>IF(($E52&gt;0),C52,C51)</f>
        <v>0.62</v>
      </c>
      <c r="D58" s="49">
        <f>IF(($E52&gt;0),D52,D51)</f>
        <v>0</v>
      </c>
      <c r="E58" s="56">
        <f>MAX(C58:D58)</f>
        <v>0.62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27.565000000000001</v>
      </c>
      <c r="D60" s="56">
        <f>D54</f>
        <v>2.4569999999999999</v>
      </c>
      <c r="E60" s="56">
        <f>MAX(C60:D60)</f>
        <v>27.565000000000001</v>
      </c>
      <c r="G60" s="1" t="str">
        <f>G54</f>
        <v>per 1000 youth</v>
      </c>
      <c r="L60" s="58">
        <f>L54</f>
        <v>1000</v>
      </c>
      <c r="M60" s="58"/>
    </row>
    <row r="61" spans="2:18" ht="15" hidden="1" customHeight="1">
      <c r="B61" s="49" t="str">
        <f t="shared" ref="B61:D62" si="11">IF(($E55&gt;0),B55,B54)</f>
        <v>per 100 arrests</v>
      </c>
      <c r="C61" s="49">
        <f t="shared" si="11"/>
        <v>1.79</v>
      </c>
      <c r="D61" s="49">
        <f t="shared" si="11"/>
        <v>0.05</v>
      </c>
      <c r="E61" s="49">
        <f>MAX(C61:D61)</f>
        <v>1.79</v>
      </c>
      <c r="G61" s="1" t="str">
        <f>G55</f>
        <v>per 100 arrests</v>
      </c>
      <c r="L61" s="58">
        <f>IF(($E55&gt;0),L55,L54)</f>
        <v>100</v>
      </c>
      <c r="M61" s="58"/>
    </row>
    <row r="62" spans="2:18" ht="15" hidden="1" customHeight="1">
      <c r="B62" s="49" t="str">
        <f t="shared" si="11"/>
        <v>per 100 referrals</v>
      </c>
      <c r="C62" s="49">
        <f t="shared" si="11"/>
        <v>2.36</v>
      </c>
      <c r="D62" s="49">
        <f t="shared" si="11"/>
        <v>0.01</v>
      </c>
      <c r="E62" s="49">
        <f>MAX(C62:D62)</f>
        <v>2.36</v>
      </c>
      <c r="G62" s="1" t="str">
        <f>G56</f>
        <v>per 100 referrals</v>
      </c>
      <c r="L62" s="58">
        <f>IF(($E56&gt;0),L56,L55)</f>
        <v>100</v>
      </c>
      <c r="M62" s="58"/>
    </row>
    <row r="63" spans="2:18" ht="15" hidden="1" customHeight="1">
      <c r="B63" s="49" t="str">
        <f>IF(($E57&gt;0),B57,B55)</f>
        <v>per 100 youth petitioned</v>
      </c>
      <c r="C63" s="49">
        <f>IF(($E57&gt;0),C57,C56)</f>
        <v>1.18</v>
      </c>
      <c r="D63" s="49">
        <f>IF(($E57&gt;0),D57,D56)</f>
        <v>0.01</v>
      </c>
      <c r="E63" s="49">
        <f>MAX(C63:D63)</f>
        <v>1.18</v>
      </c>
      <c r="G63" s="1" t="str">
        <f>G57</f>
        <v>per 100 youth petitioned</v>
      </c>
      <c r="L63" s="58">
        <f>IF(($E57&gt;0),L57,L56)</f>
        <v>100</v>
      </c>
      <c r="M63" s="58"/>
    </row>
    <row r="64" spans="2:18" ht="15" hidden="1" customHeight="1">
      <c r="B64" s="49" t="str">
        <f>IF(($E58&gt;0),B58,B57)</f>
        <v>per 100 youth found delinquent</v>
      </c>
      <c r="C64" s="49">
        <f>IF(($E58&gt;0),C58,C57)</f>
        <v>0.62</v>
      </c>
      <c r="D64" s="49">
        <f>IF(($E58&gt;0),D58,D57)</f>
        <v>0</v>
      </c>
      <c r="E64" s="56">
        <f>MAX(C64:D64)</f>
        <v>0.62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27.565000000000001</v>
      </c>
      <c r="D66" s="56">
        <f>D60</f>
        <v>2.4569999999999999</v>
      </c>
      <c r="E66" s="56">
        <f>MAX(C66:D66)</f>
        <v>27.565000000000001</v>
      </c>
      <c r="G66" s="1" t="str">
        <f>G60</f>
        <v>per 1000 youth</v>
      </c>
      <c r="L66" s="58">
        <f>L60</f>
        <v>1000</v>
      </c>
      <c r="M66" s="58">
        <f>IF((B66=G66),1,2)</f>
        <v>1</v>
      </c>
    </row>
    <row r="67" spans="2:13" ht="15" hidden="1" customHeight="1">
      <c r="B67" s="49" t="str">
        <f t="shared" ref="B67:D68" si="12">IF(($E61&gt;0),B61,B60)</f>
        <v>per 100 arrests</v>
      </c>
      <c r="C67" s="49">
        <f t="shared" si="12"/>
        <v>1.79</v>
      </c>
      <c r="D67" s="49">
        <f t="shared" si="12"/>
        <v>0.05</v>
      </c>
      <c r="E67" s="49">
        <f>MAX(C67:D67)</f>
        <v>1.79</v>
      </c>
      <c r="G67" s="1" t="str">
        <f>G61</f>
        <v>per 100 arrests</v>
      </c>
      <c r="L67" s="58">
        <f>IF(($E61&gt;0),L61,L60)</f>
        <v>100</v>
      </c>
      <c r="M67" s="58">
        <f>IF((B67=G67),1,2)</f>
        <v>1</v>
      </c>
    </row>
    <row r="68" spans="2:13" ht="15" hidden="1" customHeight="1">
      <c r="B68" s="49" t="str">
        <f t="shared" si="12"/>
        <v>per 100 referrals</v>
      </c>
      <c r="C68" s="49">
        <f t="shared" si="12"/>
        <v>2.36</v>
      </c>
      <c r="D68" s="49">
        <f t="shared" si="12"/>
        <v>0.01</v>
      </c>
      <c r="E68" s="49">
        <f>MAX(C68:D68)</f>
        <v>2.36</v>
      </c>
      <c r="G68" s="1" t="str">
        <f>G62</f>
        <v>per 100 referrals</v>
      </c>
      <c r="L68" s="58">
        <f>IF(($E62&gt;0),L62,L61)</f>
        <v>100</v>
      </c>
      <c r="M68" s="58">
        <f>IF((B68=G68),1,2)</f>
        <v>1</v>
      </c>
    </row>
    <row r="69" spans="2:13" ht="15" hidden="1" customHeight="1">
      <c r="B69" s="49" t="str">
        <f>IF(($E63&gt;0),B63,B61)</f>
        <v>per 100 youth petitioned</v>
      </c>
      <c r="C69" s="49">
        <f>IF(($E63&gt;0),C63,C62)</f>
        <v>1.18</v>
      </c>
      <c r="D69" s="49">
        <f>IF(($E63&gt;0),D63,D62)</f>
        <v>0.01</v>
      </c>
      <c r="E69" s="49">
        <f>MAX(C69:D69)</f>
        <v>1.18</v>
      </c>
      <c r="G69" s="1" t="str">
        <f>G63</f>
        <v>per 100 youth petitioned</v>
      </c>
      <c r="L69" s="58">
        <f>IF(($E63&gt;0),L63,L62)</f>
        <v>100</v>
      </c>
      <c r="M69" s="58">
        <f>IF((B69=G69),1,2)</f>
        <v>1</v>
      </c>
    </row>
    <row r="70" spans="2:13" ht="15" hidden="1" customHeight="1">
      <c r="B70" s="49" t="str">
        <f>IF(($E64&gt;0),B64,B63)</f>
        <v>per 100 youth found delinquent</v>
      </c>
      <c r="C70" s="49">
        <f>IF(($E64&gt;0),C64,C63)</f>
        <v>0.62</v>
      </c>
      <c r="D70" s="49">
        <f>IF(($E64&gt;0),D64,D63)</f>
        <v>0</v>
      </c>
      <c r="E70" s="56">
        <f>MAX(C70:D70)</f>
        <v>0.62</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3" t="str">
        <f>'Data Entry'!G5</f>
        <v>Native Hawaiian or Other Pacific Islanders</v>
      </c>
      <c r="G1" s="213"/>
      <c r="H1" s="213"/>
      <c r="I1" s="213"/>
      <c r="J1" s="213"/>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Genesee</v>
      </c>
      <c r="C3" s="22"/>
      <c r="D3" s="22"/>
      <c r="E3" s="22"/>
      <c r="F3" s="22"/>
      <c r="G3" s="7"/>
      <c r="H3" s="7"/>
      <c r="I3" s="7"/>
      <c r="J3" s="7"/>
      <c r="K3" s="7"/>
      <c r="N3" s="212" t="s">
        <v>31</v>
      </c>
      <c r="O3" s="212"/>
      <c r="P3" s="212"/>
      <c r="Q3" s="212"/>
      <c r="R3" s="212"/>
      <c r="S3" s="212"/>
      <c r="T3" s="212"/>
      <c r="U3" s="212"/>
    </row>
    <row r="4" spans="2:21" ht="8.25" customHeight="1">
      <c r="B4" s="4"/>
      <c r="C4" s="23"/>
      <c r="D4" s="23"/>
      <c r="E4" s="23"/>
      <c r="F4" s="23"/>
      <c r="G4" s="8"/>
      <c r="H4" s="8"/>
      <c r="I4" s="8"/>
      <c r="N4" s="212"/>
      <c r="O4" s="212"/>
      <c r="P4" s="212"/>
      <c r="Q4" s="212"/>
      <c r="R4" s="212"/>
      <c r="S4" s="212"/>
      <c r="T4" s="212"/>
      <c r="U4" s="212"/>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27565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179</v>
      </c>
      <c r="D7" s="34">
        <f>IF((AND(C66&gt;0,C7&gt;0)),(C7/C66),0)</f>
        <v>6.4937420642118626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179</v>
      </c>
      <c r="Q7" s="42">
        <f>C6-C7</f>
        <v>27386</v>
      </c>
      <c r="R7" s="42">
        <f t="shared" ref="R7:R15" si="5">SUM(N7:Q7)</f>
        <v>27565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236</v>
      </c>
      <c r="D8" s="34">
        <f>IF((AND(C67&gt;0,C8&gt;0)),(C8/C67),0)</f>
        <v>131.84357541899442</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236</v>
      </c>
      <c r="Q8" s="42">
        <f>(C$67*L67)-C8</f>
        <v>-57</v>
      </c>
      <c r="R8" s="42">
        <f t="shared" si="5"/>
        <v>179.05</v>
      </c>
      <c r="S8" s="30">
        <f t="shared" si="6"/>
        <v>24930.922000000002</v>
      </c>
      <c r="T8" s="30">
        <f t="shared" si="7"/>
        <v>-120289.79000000002</v>
      </c>
      <c r="U8" s="31">
        <f t="shared" si="8"/>
        <v>-0.20725717452827874</v>
      </c>
    </row>
    <row r="9" spans="2:21" ht="18" customHeight="1">
      <c r="B9" s="32" t="str">
        <f>'Data Entry'!A9</f>
        <v xml:space="preserve">4. Cases Diverted </v>
      </c>
      <c r="C9" s="33">
        <f>'Data Entry'!C9</f>
        <v>7</v>
      </c>
      <c r="D9" s="34">
        <f>IF((AND(C68&gt;0,C9&gt;0)),((C9/C68)),0)</f>
        <v>2.9661016949152543</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7</v>
      </c>
      <c r="Q9" s="42">
        <f>(C$68*L68)-C9</f>
        <v>229</v>
      </c>
      <c r="R9" s="42">
        <f t="shared" si="5"/>
        <v>236</v>
      </c>
      <c r="S9" s="30">
        <f t="shared" si="6"/>
        <v>0</v>
      </c>
      <c r="T9" s="30">
        <f t="shared" si="7"/>
        <v>0</v>
      </c>
      <c r="U9" s="31" t="str">
        <f t="shared" si="8"/>
        <v>- -</v>
      </c>
    </row>
    <row r="10" spans="2:21" ht="18" customHeight="1">
      <c r="B10" s="32" t="str">
        <f>'Data Entry'!A10</f>
        <v>5. Cases Involving Secure Detention</v>
      </c>
      <c r="C10" s="33">
        <f>'Data Entry'!C10</f>
        <v>43</v>
      </c>
      <c r="D10" s="34">
        <f>IF(((AND(C68&gt;0,C10&gt;0))),(C10/(C68)),0)</f>
        <v>18.220338983050848</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43</v>
      </c>
      <c r="Q10" s="42">
        <f>(C$68*L68)-C10</f>
        <v>193</v>
      </c>
      <c r="R10" s="42">
        <f t="shared" si="5"/>
        <v>236</v>
      </c>
      <c r="S10" s="30">
        <f t="shared" si="6"/>
        <v>0</v>
      </c>
      <c r="T10" s="30">
        <f t="shared" si="7"/>
        <v>0</v>
      </c>
      <c r="U10" s="31" t="str">
        <f t="shared" si="8"/>
        <v>- -</v>
      </c>
    </row>
    <row r="11" spans="2:21" ht="18" customHeight="1">
      <c r="B11" s="32" t="str">
        <f>'Data Entry'!A11</f>
        <v>6. Cases Petitioned (Charge Filed)</v>
      </c>
      <c r="C11" s="33">
        <f>'Data Entry'!C11</f>
        <v>118</v>
      </c>
      <c r="D11" s="34">
        <f>IF(((AND(C68&gt;0,C11&gt;0))),(C11/(C68)),0)</f>
        <v>50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118</v>
      </c>
      <c r="Q11" s="42">
        <f>(C$68*L68)-C11</f>
        <v>118</v>
      </c>
      <c r="R11" s="42">
        <f t="shared" si="5"/>
        <v>236</v>
      </c>
      <c r="S11" s="30">
        <f t="shared" si="6"/>
        <v>0</v>
      </c>
      <c r="T11" s="30">
        <f t="shared" si="7"/>
        <v>0</v>
      </c>
      <c r="U11" s="31" t="str">
        <f t="shared" si="8"/>
        <v>- -</v>
      </c>
    </row>
    <row r="12" spans="2:21" ht="18" customHeight="1">
      <c r="B12" s="32" t="str">
        <f>'Data Entry'!A12</f>
        <v>7. Cases Resulting in Delinquent Findings</v>
      </c>
      <c r="C12" s="33">
        <f>'Data Entry'!C12</f>
        <v>62</v>
      </c>
      <c r="D12" s="34">
        <f>IF(((AND(C69&gt;0,C12&gt;0))),(C12/(C69)),0)</f>
        <v>52.542372881355938</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62</v>
      </c>
      <c r="Q12" s="42">
        <f>(C69*L69)-C12</f>
        <v>56</v>
      </c>
      <c r="R12" s="42">
        <f t="shared" si="5"/>
        <v>118</v>
      </c>
      <c r="S12" s="30">
        <f t="shared" si="6"/>
        <v>0</v>
      </c>
      <c r="T12" s="30">
        <f t="shared" si="7"/>
        <v>0</v>
      </c>
      <c r="U12" s="31" t="str">
        <f t="shared" si="8"/>
        <v>- -</v>
      </c>
    </row>
    <row r="13" spans="2:21" ht="18" customHeight="1">
      <c r="B13" s="32" t="str">
        <f>'Data Entry'!A13</f>
        <v>8. Cases Resulting in Probation Placement</v>
      </c>
      <c r="C13" s="33">
        <f>'Data Entry'!C13</f>
        <v>90</v>
      </c>
      <c r="D13" s="34">
        <f>IF(((AND(C70&gt;0,C13&gt;0))),(C13/(C70)),0)</f>
        <v>145.16129032258064</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90</v>
      </c>
      <c r="Q13" s="42">
        <f>(C70*L70)-C13</f>
        <v>-28</v>
      </c>
      <c r="R13" s="42">
        <f t="shared" si="5"/>
        <v>62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8</v>
      </c>
      <c r="D14" s="34">
        <f>IF(((AND(C70&gt;0,C14&gt;0))), ((C14/(C70))),0)</f>
        <v>12.903225806451614</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8</v>
      </c>
      <c r="Q14" s="42">
        <f>(C70*L70)-C14</f>
        <v>54</v>
      </c>
      <c r="R14" s="42">
        <f t="shared" si="5"/>
        <v>62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118</v>
      </c>
      <c r="R15" s="42">
        <f t="shared" si="5"/>
        <v>118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1" t="s">
        <v>79</v>
      </c>
      <c r="C40" s="211"/>
      <c r="D40" s="211"/>
      <c r="E40" s="211"/>
      <c r="F40" s="211"/>
      <c r="G40" s="211"/>
      <c r="H40" s="211"/>
      <c r="I40" s="211"/>
      <c r="J40" s="211"/>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27.565000000000001</v>
      </c>
      <c r="D42" s="56">
        <f>E6/1000</f>
        <v>0</v>
      </c>
      <c r="E42" s="56">
        <f>MAX(C42:D42)</f>
        <v>27.565000000000001</v>
      </c>
      <c r="G42" s="1" t="str">
        <f>B42</f>
        <v>per 1000 youth</v>
      </c>
      <c r="L42" s="57">
        <v>1000</v>
      </c>
      <c r="M42" s="57"/>
      <c r="R42" s="49"/>
    </row>
    <row r="43" spans="2:18" ht="15" hidden="1" customHeight="1">
      <c r="B43" s="49" t="s">
        <v>87</v>
      </c>
      <c r="C43" s="56">
        <f>C7/100</f>
        <v>1.79</v>
      </c>
      <c r="D43" s="56">
        <f>E7/100</f>
        <v>0</v>
      </c>
      <c r="E43" s="56">
        <f>MAX(C43:D43,0)</f>
        <v>1.79</v>
      </c>
      <c r="G43" s="1" t="str">
        <f>B43</f>
        <v>per 100 arrests</v>
      </c>
      <c r="L43" s="57">
        <v>100</v>
      </c>
      <c r="M43" s="57"/>
      <c r="R43" s="49"/>
    </row>
    <row r="44" spans="2:18" ht="15" hidden="1" customHeight="1">
      <c r="B44" s="49" t="s">
        <v>88</v>
      </c>
      <c r="C44" s="56">
        <f>C8/100</f>
        <v>2.36</v>
      </c>
      <c r="D44" s="56">
        <f>E8/100</f>
        <v>0</v>
      </c>
      <c r="E44" s="56">
        <f>MAX(C44:D44,0)</f>
        <v>2.36</v>
      </c>
      <c r="G44" s="1" t="str">
        <f>B44</f>
        <v>per 100 referrals</v>
      </c>
      <c r="L44" s="57">
        <v>100</v>
      </c>
      <c r="M44" s="57"/>
      <c r="R44" s="49"/>
    </row>
    <row r="45" spans="2:18" ht="15" hidden="1" customHeight="1">
      <c r="B45" s="49" t="s">
        <v>89</v>
      </c>
      <c r="C45" s="49">
        <f>C11/100</f>
        <v>1.18</v>
      </c>
      <c r="D45" s="49">
        <f>E11/100</f>
        <v>0</v>
      </c>
      <c r="E45" s="56">
        <f>MAX(C45:D45,0)</f>
        <v>1.18</v>
      </c>
      <c r="G45" s="1" t="str">
        <f>B45</f>
        <v>per 100 youth petitioned</v>
      </c>
      <c r="L45" s="57">
        <v>100</v>
      </c>
      <c r="M45" s="57"/>
      <c r="R45" s="49"/>
    </row>
    <row r="46" spans="2:18" ht="15" hidden="1" customHeight="1">
      <c r="B46" s="49" t="s">
        <v>90</v>
      </c>
      <c r="C46" s="49">
        <f>C12/100</f>
        <v>0.62</v>
      </c>
      <c r="D46" s="49">
        <f>E12/100</f>
        <v>0</v>
      </c>
      <c r="E46" s="56">
        <f>MAX(C46:D46)</f>
        <v>0.62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27.565000000000001</v>
      </c>
      <c r="D48" s="56">
        <f>D42</f>
        <v>0</v>
      </c>
      <c r="E48" s="56">
        <f>MAX(C48:D48)</f>
        <v>27.565000000000001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1.79</v>
      </c>
      <c r="D49" s="49">
        <f t="shared" si="9"/>
        <v>0</v>
      </c>
      <c r="E49" s="49">
        <f>MAX(C49:D49)</f>
        <v>1.79</v>
      </c>
      <c r="G49" s="1" t="str">
        <f>G43</f>
        <v>per 100 arrests</v>
      </c>
      <c r="L49" s="58">
        <f>IF(($E43&gt;0),L43,L42)</f>
        <v>100</v>
      </c>
      <c r="M49" s="58"/>
      <c r="N49" s="21"/>
      <c r="O49" s="21"/>
      <c r="P49" s="21"/>
      <c r="Q49" s="21"/>
      <c r="R49" s="21"/>
    </row>
    <row r="50" spans="2:18" ht="15" hidden="1" customHeight="1">
      <c r="B50" s="49" t="str">
        <f t="shared" si="9"/>
        <v>per 100 referrals</v>
      </c>
      <c r="C50" s="49">
        <f t="shared" si="9"/>
        <v>2.36</v>
      </c>
      <c r="D50" s="49">
        <f t="shared" si="9"/>
        <v>0</v>
      </c>
      <c r="E50" s="49">
        <f>MAX(C50:D50)</f>
        <v>2.36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1.18</v>
      </c>
      <c r="D51" s="49">
        <f>IF(($E45&gt;0),D45,D44)</f>
        <v>0</v>
      </c>
      <c r="E51" s="49">
        <f>MAX(C51:D51)</f>
        <v>1.18</v>
      </c>
      <c r="G51" s="1" t="str">
        <f>G45</f>
        <v>per 100 youth petitioned</v>
      </c>
      <c r="L51" s="58">
        <f>IF(($E45&gt;0),L45,L44)</f>
        <v>100</v>
      </c>
      <c r="M51" s="58"/>
    </row>
    <row r="52" spans="2:18" ht="15" hidden="1" customHeight="1">
      <c r="B52" s="49" t="str">
        <f>IF(($E46&gt;0),B46,B45)</f>
        <v>per 100 youth found delinquent</v>
      </c>
      <c r="C52" s="49">
        <f>IF(($E46&gt;0),C46,C45)</f>
        <v>0.62</v>
      </c>
      <c r="D52" s="49">
        <f>IF(($E46&gt;0),D46,D45)</f>
        <v>0</v>
      </c>
      <c r="E52" s="56">
        <f>MAX(C52:D52)</f>
        <v>0.62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27.565000000000001</v>
      </c>
      <c r="D54" s="56">
        <f>D48</f>
        <v>0</v>
      </c>
      <c r="E54" s="56">
        <f>MAX(C54:D54)</f>
        <v>27.565000000000001</v>
      </c>
      <c r="G54" s="1" t="str">
        <f>G48</f>
        <v>per 1000 youth</v>
      </c>
      <c r="L54" s="58">
        <f>L48</f>
        <v>1000</v>
      </c>
      <c r="M54" s="58"/>
    </row>
    <row r="55" spans="2:18" ht="15" hidden="1" customHeight="1">
      <c r="B55" s="49" t="str">
        <f t="shared" ref="B55:D56" si="10">IF(($E49&gt;0),B49,B48)</f>
        <v>per 100 arrests</v>
      </c>
      <c r="C55" s="49">
        <f t="shared" si="10"/>
        <v>1.79</v>
      </c>
      <c r="D55" s="49">
        <f t="shared" si="10"/>
        <v>0</v>
      </c>
      <c r="E55" s="49">
        <f>MAX(C55:D55)</f>
        <v>1.79</v>
      </c>
      <c r="G55" s="1" t="str">
        <f>G49</f>
        <v>per 100 arrests</v>
      </c>
      <c r="L55" s="58">
        <f>IF(($E49&gt;0),L49,L48)</f>
        <v>100</v>
      </c>
      <c r="M55" s="58"/>
    </row>
    <row r="56" spans="2:18" ht="15" hidden="1" customHeight="1">
      <c r="B56" s="49" t="str">
        <f t="shared" si="10"/>
        <v>per 100 referrals</v>
      </c>
      <c r="C56" s="49">
        <f t="shared" si="10"/>
        <v>2.36</v>
      </c>
      <c r="D56" s="49">
        <f t="shared" si="10"/>
        <v>0</v>
      </c>
      <c r="E56" s="49">
        <f>MAX(C56:D56)</f>
        <v>2.36</v>
      </c>
      <c r="G56" s="1" t="str">
        <f>G50</f>
        <v>per 100 referrals</v>
      </c>
      <c r="L56" s="58">
        <f>IF(($E50&gt;0),L50,L49)</f>
        <v>100</v>
      </c>
      <c r="M56" s="58"/>
    </row>
    <row r="57" spans="2:18" ht="15" hidden="1" customHeight="1">
      <c r="B57" s="49" t="str">
        <f>IF(($E51&gt;0),B51,B49)</f>
        <v>per 100 youth petitioned</v>
      </c>
      <c r="C57" s="49">
        <f>IF(($E51&gt;0),C51,C50)</f>
        <v>1.18</v>
      </c>
      <c r="D57" s="49">
        <f>IF(($E51&gt;0),D51,D50)</f>
        <v>0</v>
      </c>
      <c r="E57" s="49">
        <f>MAX(C57:D57)</f>
        <v>1.18</v>
      </c>
      <c r="G57" s="1" t="str">
        <f>G51</f>
        <v>per 100 youth petitioned</v>
      </c>
      <c r="L57" s="58">
        <f>IF(($E51&gt;0),L51,L50)</f>
        <v>100</v>
      </c>
      <c r="M57" s="58"/>
    </row>
    <row r="58" spans="2:18" ht="15" hidden="1" customHeight="1">
      <c r="B58" s="49" t="str">
        <f>IF(($E52&gt;0),B52,B51)</f>
        <v>per 100 youth found delinquent</v>
      </c>
      <c r="C58" s="49">
        <f>IF(($E52&gt;0),C52,C51)</f>
        <v>0.62</v>
      </c>
      <c r="D58" s="49">
        <f>IF(($E52&gt;0),D52,D51)</f>
        <v>0</v>
      </c>
      <c r="E58" s="56">
        <f>MAX(C58:D58)</f>
        <v>0.62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27.565000000000001</v>
      </c>
      <c r="D60" s="56">
        <f>D54</f>
        <v>0</v>
      </c>
      <c r="E60" s="56">
        <f>MAX(C60:D60)</f>
        <v>27.565000000000001</v>
      </c>
      <c r="G60" s="1" t="str">
        <f>G54</f>
        <v>per 1000 youth</v>
      </c>
      <c r="L60" s="58">
        <f>L54</f>
        <v>1000</v>
      </c>
      <c r="M60" s="58"/>
    </row>
    <row r="61" spans="2:18" ht="15" hidden="1" customHeight="1">
      <c r="B61" s="49" t="str">
        <f t="shared" ref="B61:D62" si="11">IF(($E55&gt;0),B55,B54)</f>
        <v>per 100 arrests</v>
      </c>
      <c r="C61" s="49">
        <f t="shared" si="11"/>
        <v>1.79</v>
      </c>
      <c r="D61" s="49">
        <f t="shared" si="11"/>
        <v>0</v>
      </c>
      <c r="E61" s="49">
        <f>MAX(C61:D61)</f>
        <v>1.79</v>
      </c>
      <c r="G61" s="1" t="str">
        <f>G55</f>
        <v>per 100 arrests</v>
      </c>
      <c r="L61" s="58">
        <f>IF(($E55&gt;0),L55,L54)</f>
        <v>100</v>
      </c>
      <c r="M61" s="58"/>
    </row>
    <row r="62" spans="2:18" ht="15" hidden="1" customHeight="1">
      <c r="B62" s="49" t="str">
        <f t="shared" si="11"/>
        <v>per 100 referrals</v>
      </c>
      <c r="C62" s="49">
        <f t="shared" si="11"/>
        <v>2.36</v>
      </c>
      <c r="D62" s="49">
        <f t="shared" si="11"/>
        <v>0</v>
      </c>
      <c r="E62" s="49">
        <f>MAX(C62:D62)</f>
        <v>2.36</v>
      </c>
      <c r="G62" s="1" t="str">
        <f>G56</f>
        <v>per 100 referrals</v>
      </c>
      <c r="L62" s="58">
        <f>IF(($E56&gt;0),L56,L55)</f>
        <v>100</v>
      </c>
      <c r="M62" s="58"/>
    </row>
    <row r="63" spans="2:18" ht="15" hidden="1" customHeight="1">
      <c r="B63" s="49" t="str">
        <f>IF(($E57&gt;0),B57,B55)</f>
        <v>per 100 youth petitioned</v>
      </c>
      <c r="C63" s="49">
        <f>IF(($E57&gt;0),C57,C56)</f>
        <v>1.18</v>
      </c>
      <c r="D63" s="49">
        <f>IF(($E57&gt;0),D57,D56)</f>
        <v>0</v>
      </c>
      <c r="E63" s="49">
        <f>MAX(C63:D63)</f>
        <v>1.18</v>
      </c>
      <c r="G63" s="1" t="str">
        <f>G57</f>
        <v>per 100 youth petitioned</v>
      </c>
      <c r="L63" s="58">
        <f>IF(($E57&gt;0),L57,L56)</f>
        <v>100</v>
      </c>
      <c r="M63" s="58"/>
    </row>
    <row r="64" spans="2:18" ht="15" hidden="1" customHeight="1">
      <c r="B64" s="49" t="str">
        <f>IF(($E58&gt;0),B58,B57)</f>
        <v>per 100 youth found delinquent</v>
      </c>
      <c r="C64" s="49">
        <f>IF(($E58&gt;0),C58,C57)</f>
        <v>0.62</v>
      </c>
      <c r="D64" s="49">
        <f>IF(($E58&gt;0),D58,D57)</f>
        <v>0</v>
      </c>
      <c r="E64" s="56">
        <f>MAX(C64:D64)</f>
        <v>0.62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27.565000000000001</v>
      </c>
      <c r="D66" s="56">
        <f>D60</f>
        <v>0</v>
      </c>
      <c r="E66" s="56">
        <f>MAX(C66:D66)</f>
        <v>27.565000000000001</v>
      </c>
      <c r="G66" s="1" t="str">
        <f>G60</f>
        <v>per 1000 youth</v>
      </c>
      <c r="L66" s="58">
        <f>L60</f>
        <v>1000</v>
      </c>
      <c r="M66" s="58">
        <f>IF((B66=G66),1,2)</f>
        <v>1</v>
      </c>
    </row>
    <row r="67" spans="2:13" ht="15" hidden="1" customHeight="1">
      <c r="B67" s="49" t="str">
        <f t="shared" ref="B67:D68" si="12">IF(($E61&gt;0),B61,B60)</f>
        <v>per 100 arrests</v>
      </c>
      <c r="C67" s="49">
        <f t="shared" si="12"/>
        <v>1.79</v>
      </c>
      <c r="D67" s="49">
        <f t="shared" si="12"/>
        <v>0</v>
      </c>
      <c r="E67" s="49">
        <f>MAX(C67:D67)</f>
        <v>1.79</v>
      </c>
      <c r="G67" s="1" t="str">
        <f>G61</f>
        <v>per 100 arrests</v>
      </c>
      <c r="L67" s="58">
        <f>IF(($E61&gt;0),L61,L60)</f>
        <v>100</v>
      </c>
      <c r="M67" s="58">
        <f>IF((B67=G67),1,2)</f>
        <v>1</v>
      </c>
    </row>
    <row r="68" spans="2:13" ht="15" hidden="1" customHeight="1">
      <c r="B68" s="49" t="str">
        <f t="shared" si="12"/>
        <v>per 100 referrals</v>
      </c>
      <c r="C68" s="49">
        <f t="shared" si="12"/>
        <v>2.36</v>
      </c>
      <c r="D68" s="49">
        <f t="shared" si="12"/>
        <v>0</v>
      </c>
      <c r="E68" s="49">
        <f>MAX(C68:D68)</f>
        <v>2.36</v>
      </c>
      <c r="G68" s="1" t="str">
        <f>G62</f>
        <v>per 100 referrals</v>
      </c>
      <c r="L68" s="58">
        <f>IF(($E62&gt;0),L62,L61)</f>
        <v>100</v>
      </c>
      <c r="M68" s="58">
        <f>IF((B68=G68),1,2)</f>
        <v>1</v>
      </c>
    </row>
    <row r="69" spans="2:13" ht="15" hidden="1" customHeight="1">
      <c r="B69" s="49" t="str">
        <f>IF(($E63&gt;0),B63,B61)</f>
        <v>per 100 youth petitioned</v>
      </c>
      <c r="C69" s="49">
        <f>IF(($E63&gt;0),C63,C62)</f>
        <v>1.18</v>
      </c>
      <c r="D69" s="49">
        <f>IF(($E63&gt;0),D63,D62)</f>
        <v>0</v>
      </c>
      <c r="E69" s="49">
        <f>MAX(C69:D69)</f>
        <v>1.18</v>
      </c>
      <c r="G69" s="1" t="str">
        <f>G63</f>
        <v>per 100 youth petitioned</v>
      </c>
      <c r="L69" s="58">
        <f>IF(($E63&gt;0),L63,L62)</f>
        <v>100</v>
      </c>
      <c r="M69" s="58">
        <f>IF((B69=G69),1,2)</f>
        <v>1</v>
      </c>
    </row>
    <row r="70" spans="2:13" ht="15" hidden="1" customHeight="1">
      <c r="B70" s="49" t="str">
        <f>IF(($E64&gt;0),B64,B63)</f>
        <v>per 100 youth found delinquent</v>
      </c>
      <c r="C70" s="49">
        <f>IF(($E64&gt;0),C64,C63)</f>
        <v>0.62</v>
      </c>
      <c r="D70" s="49">
        <f>IF(($E64&gt;0),D64,D63)</f>
        <v>0</v>
      </c>
      <c r="E70" s="56">
        <f>MAX(C70:D70)</f>
        <v>0.62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3" t="str">
        <f>'Data Entry'!H5</f>
        <v>American Indian or Alaska Native</v>
      </c>
      <c r="G1" s="213"/>
      <c r="H1" s="213"/>
      <c r="I1" s="213"/>
      <c r="J1" s="213"/>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Genesee</v>
      </c>
      <c r="C3" s="22"/>
      <c r="D3" s="22"/>
      <c r="E3" s="22"/>
      <c r="F3" s="22"/>
      <c r="G3" s="7"/>
      <c r="H3" s="7"/>
      <c r="I3" s="7"/>
      <c r="J3" s="7"/>
      <c r="K3" s="7"/>
      <c r="N3" s="212" t="s">
        <v>31</v>
      </c>
      <c r="O3" s="212"/>
      <c r="P3" s="212"/>
      <c r="Q3" s="212"/>
      <c r="R3" s="212"/>
      <c r="S3" s="212"/>
      <c r="T3" s="212"/>
      <c r="U3" s="212"/>
    </row>
    <row r="4" spans="2:21" ht="8.25" customHeight="1">
      <c r="B4" s="4"/>
      <c r="C4" s="23"/>
      <c r="D4" s="23"/>
      <c r="E4" s="23"/>
      <c r="F4" s="23"/>
      <c r="G4" s="8"/>
      <c r="H4" s="8"/>
      <c r="I4" s="8"/>
      <c r="N4" s="212"/>
      <c r="O4" s="212"/>
      <c r="P4" s="212"/>
      <c r="Q4" s="212"/>
      <c r="R4" s="212"/>
      <c r="S4" s="212"/>
      <c r="T4" s="212"/>
      <c r="U4" s="212"/>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27565</v>
      </c>
      <c r="D6" s="34"/>
      <c r="E6" s="33">
        <f>'Data Entry'!H6</f>
        <v>225</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179</v>
      </c>
      <c r="D7" s="34">
        <f>IF((AND(C66&gt;0,C7&gt;0)),(C7/C66),0)</f>
        <v>6.4937420642118626</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225</v>
      </c>
      <c r="P7" s="42">
        <f t="shared" ref="P7:P15" si="4">C7</f>
        <v>179</v>
      </c>
      <c r="Q7" s="42">
        <f>C6-C7</f>
        <v>27386</v>
      </c>
      <c r="R7" s="42">
        <f t="shared" ref="R7:R15" si="5">SUM(N7:Q7)</f>
        <v>27790</v>
      </c>
      <c r="S7" s="30">
        <f t="shared" ref="S7:S15" si="6">R7*((((N7*Q7)-(O7*P7))^2))</f>
        <v>45077481618750</v>
      </c>
      <c r="T7" s="30">
        <f t="shared" ref="T7:T15" si="7">(N7+O7)*(P7+Q7)*(N7+P7)*(O7+Q7)</f>
        <v>30653190334125</v>
      </c>
      <c r="U7" s="31">
        <f t="shared" ref="U7:U15" si="8">IF((S7&gt;0),S7/T7,"- -")</f>
        <v>1.4705641118395105</v>
      </c>
    </row>
    <row r="8" spans="2:21" ht="18" customHeight="1">
      <c r="B8" s="32" t="str">
        <f>'Data Entry'!A8</f>
        <v>3. Refer to Juvenile Court</v>
      </c>
      <c r="C8" s="33">
        <f>'Data Entry'!C8</f>
        <v>236</v>
      </c>
      <c r="D8" s="34">
        <f>IF((AND(C67&gt;0,C8&gt;0)),(C8/C67),0)</f>
        <v>131.84357541899442</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236</v>
      </c>
      <c r="Q8" s="42">
        <f>(C$67*L67)-C8</f>
        <v>-57</v>
      </c>
      <c r="R8" s="42">
        <f t="shared" si="5"/>
        <v>179.05</v>
      </c>
      <c r="S8" s="30">
        <f t="shared" si="6"/>
        <v>24930.922000000002</v>
      </c>
      <c r="T8" s="30">
        <f t="shared" si="7"/>
        <v>-120289.79000000002</v>
      </c>
      <c r="U8" s="31">
        <f t="shared" si="8"/>
        <v>-0.20725717452827874</v>
      </c>
    </row>
    <row r="9" spans="2:21" ht="18" customHeight="1">
      <c r="B9" s="32" t="str">
        <f>'Data Entry'!A9</f>
        <v xml:space="preserve">4. Cases Diverted </v>
      </c>
      <c r="C9" s="33">
        <f>'Data Entry'!C9</f>
        <v>7</v>
      </c>
      <c r="D9" s="34">
        <f>IF((AND(C68&gt;0,C9&gt;0)),((C9/C68)),0)</f>
        <v>2.9661016949152543</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7</v>
      </c>
      <c r="Q9" s="42">
        <f>(C$68*L68)-C9</f>
        <v>229</v>
      </c>
      <c r="R9" s="42">
        <f t="shared" si="5"/>
        <v>236</v>
      </c>
      <c r="S9" s="30">
        <f t="shared" si="6"/>
        <v>0</v>
      </c>
      <c r="T9" s="30">
        <f t="shared" si="7"/>
        <v>0</v>
      </c>
      <c r="U9" s="31" t="str">
        <f t="shared" si="8"/>
        <v>- -</v>
      </c>
    </row>
    <row r="10" spans="2:21" ht="18" customHeight="1">
      <c r="B10" s="32" t="str">
        <f>'Data Entry'!A10</f>
        <v>5. Cases Involving Secure Detention</v>
      </c>
      <c r="C10" s="33">
        <f>'Data Entry'!C10</f>
        <v>43</v>
      </c>
      <c r="D10" s="34">
        <f>IF(((AND(C68&gt;0,C10&gt;0))),(C10/(C68)),0)</f>
        <v>18.220338983050848</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43</v>
      </c>
      <c r="Q10" s="42">
        <f>(C$68*L68)-C10</f>
        <v>193</v>
      </c>
      <c r="R10" s="42">
        <f t="shared" si="5"/>
        <v>236</v>
      </c>
      <c r="S10" s="30">
        <f t="shared" si="6"/>
        <v>0</v>
      </c>
      <c r="T10" s="30">
        <f t="shared" si="7"/>
        <v>0</v>
      </c>
      <c r="U10" s="31" t="str">
        <f t="shared" si="8"/>
        <v>- -</v>
      </c>
    </row>
    <row r="11" spans="2:21" ht="18" customHeight="1">
      <c r="B11" s="32" t="str">
        <f>'Data Entry'!A11</f>
        <v>6. Cases Petitioned (Charge Filed)</v>
      </c>
      <c r="C11" s="33">
        <f>'Data Entry'!C11</f>
        <v>118</v>
      </c>
      <c r="D11" s="34">
        <f>IF(((AND(C68&gt;0,C11&gt;0))),(C11/(C68)),0)</f>
        <v>50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118</v>
      </c>
      <c r="Q11" s="42">
        <f>(C$68*L68)-C11</f>
        <v>118</v>
      </c>
      <c r="R11" s="42">
        <f t="shared" si="5"/>
        <v>236</v>
      </c>
      <c r="S11" s="30">
        <f t="shared" si="6"/>
        <v>0</v>
      </c>
      <c r="T11" s="30">
        <f t="shared" si="7"/>
        <v>0</v>
      </c>
      <c r="U11" s="31" t="str">
        <f t="shared" si="8"/>
        <v>- -</v>
      </c>
    </row>
    <row r="12" spans="2:21" ht="18" customHeight="1">
      <c r="B12" s="32" t="str">
        <f>'Data Entry'!A12</f>
        <v>7. Cases Resulting in Delinquent Findings</v>
      </c>
      <c r="C12" s="33">
        <f>'Data Entry'!C12</f>
        <v>62</v>
      </c>
      <c r="D12" s="34">
        <f>IF(((AND(C69&gt;0,C12&gt;0))),(C12/(C69)),0)</f>
        <v>52.542372881355938</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62</v>
      </c>
      <c r="Q12" s="42">
        <f>(C69*L69)-C12</f>
        <v>56</v>
      </c>
      <c r="R12" s="42">
        <f t="shared" si="5"/>
        <v>118</v>
      </c>
      <c r="S12" s="30">
        <f t="shared" si="6"/>
        <v>0</v>
      </c>
      <c r="T12" s="30">
        <f t="shared" si="7"/>
        <v>0</v>
      </c>
      <c r="U12" s="31" t="str">
        <f t="shared" si="8"/>
        <v>- -</v>
      </c>
    </row>
    <row r="13" spans="2:21" ht="18" customHeight="1">
      <c r="B13" s="32" t="str">
        <f>'Data Entry'!A13</f>
        <v>8. Cases Resulting in Probation Placement</v>
      </c>
      <c r="C13" s="33">
        <f>'Data Entry'!C13</f>
        <v>90</v>
      </c>
      <c r="D13" s="34">
        <f>IF(((AND(C70&gt;0,C13&gt;0))),(C13/(C70)),0)</f>
        <v>145.16129032258064</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90</v>
      </c>
      <c r="Q13" s="42">
        <f>(C70*L70)-C13</f>
        <v>-28</v>
      </c>
      <c r="R13" s="42">
        <f t="shared" si="5"/>
        <v>62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8</v>
      </c>
      <c r="D14" s="34">
        <f>IF(((AND(C70&gt;0,C14&gt;0))), ((C14/(C70))),0)</f>
        <v>12.903225806451614</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8</v>
      </c>
      <c r="Q14" s="42">
        <f>(C70*L70)-C14</f>
        <v>54</v>
      </c>
      <c r="R14" s="42">
        <f t="shared" si="5"/>
        <v>62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118</v>
      </c>
      <c r="R15" s="42">
        <f t="shared" si="5"/>
        <v>118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1" t="s">
        <v>79</v>
      </c>
      <c r="C40" s="211"/>
      <c r="D40" s="211"/>
      <c r="E40" s="211"/>
      <c r="F40" s="211"/>
      <c r="G40" s="211"/>
      <c r="H40" s="211"/>
      <c r="I40" s="211"/>
      <c r="J40" s="211"/>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27.565000000000001</v>
      </c>
      <c r="D42" s="56">
        <f>E6/1000</f>
        <v>0.22500000000000001</v>
      </c>
      <c r="E42" s="56">
        <f>MAX(C42:D42)</f>
        <v>27.565000000000001</v>
      </c>
      <c r="G42" s="1" t="str">
        <f>B42</f>
        <v>per 1000 youth</v>
      </c>
      <c r="L42" s="57">
        <v>1000</v>
      </c>
      <c r="M42" s="57"/>
      <c r="R42" s="49"/>
    </row>
    <row r="43" spans="2:18" ht="15" hidden="1" customHeight="1">
      <c r="B43" s="49" t="s">
        <v>87</v>
      </c>
      <c r="C43" s="56">
        <f>C7/100</f>
        <v>1.79</v>
      </c>
      <c r="D43" s="56">
        <f>E7/100</f>
        <v>0</v>
      </c>
      <c r="E43" s="56">
        <f>MAX(C43:D43,0)</f>
        <v>1.79</v>
      </c>
      <c r="G43" s="1" t="str">
        <f>B43</f>
        <v>per 100 arrests</v>
      </c>
      <c r="L43" s="57">
        <v>100</v>
      </c>
      <c r="M43" s="57"/>
      <c r="R43" s="49"/>
    </row>
    <row r="44" spans="2:18" ht="15" hidden="1" customHeight="1">
      <c r="B44" s="49" t="s">
        <v>88</v>
      </c>
      <c r="C44" s="56">
        <f>C8/100</f>
        <v>2.36</v>
      </c>
      <c r="D44" s="56">
        <f>E8/100</f>
        <v>0</v>
      </c>
      <c r="E44" s="56">
        <f>MAX(C44:D44,0)</f>
        <v>2.36</v>
      </c>
      <c r="G44" s="1" t="str">
        <f>B44</f>
        <v>per 100 referrals</v>
      </c>
      <c r="L44" s="57">
        <v>100</v>
      </c>
      <c r="M44" s="57"/>
      <c r="R44" s="49"/>
    </row>
    <row r="45" spans="2:18" ht="15" hidden="1" customHeight="1">
      <c r="B45" s="49" t="s">
        <v>89</v>
      </c>
      <c r="C45" s="49">
        <f>C11/100</f>
        <v>1.18</v>
      </c>
      <c r="D45" s="49">
        <f>E11/100</f>
        <v>0</v>
      </c>
      <c r="E45" s="56">
        <f>MAX(C45:D45,0)</f>
        <v>1.18</v>
      </c>
      <c r="G45" s="1" t="str">
        <f>B45</f>
        <v>per 100 youth petitioned</v>
      </c>
      <c r="L45" s="57">
        <v>100</v>
      </c>
      <c r="M45" s="57"/>
      <c r="R45" s="49"/>
    </row>
    <row r="46" spans="2:18" ht="15" hidden="1" customHeight="1">
      <c r="B46" s="49" t="s">
        <v>90</v>
      </c>
      <c r="C46" s="49">
        <f>C12/100</f>
        <v>0.62</v>
      </c>
      <c r="D46" s="49">
        <f>E12/100</f>
        <v>0</v>
      </c>
      <c r="E46" s="56">
        <f>MAX(C46:D46)</f>
        <v>0.62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27.565000000000001</v>
      </c>
      <c r="D48" s="56">
        <f>D42</f>
        <v>0.22500000000000001</v>
      </c>
      <c r="E48" s="56">
        <f>MAX(C48:D48)</f>
        <v>27.565000000000001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1.79</v>
      </c>
      <c r="D49" s="49">
        <f t="shared" si="9"/>
        <v>0</v>
      </c>
      <c r="E49" s="49">
        <f>MAX(C49:D49)</f>
        <v>1.79</v>
      </c>
      <c r="G49" s="1" t="str">
        <f>G43</f>
        <v>per 100 arrests</v>
      </c>
      <c r="L49" s="58">
        <f>IF(($E43&gt;0),L43,L42)</f>
        <v>100</v>
      </c>
      <c r="M49" s="58"/>
      <c r="N49" s="21"/>
      <c r="O49" s="21"/>
      <c r="P49" s="21"/>
      <c r="Q49" s="21"/>
      <c r="R49" s="21"/>
    </row>
    <row r="50" spans="2:18" ht="15" hidden="1" customHeight="1">
      <c r="B50" s="49" t="str">
        <f t="shared" si="9"/>
        <v>per 100 referrals</v>
      </c>
      <c r="C50" s="49">
        <f t="shared" si="9"/>
        <v>2.36</v>
      </c>
      <c r="D50" s="49">
        <f t="shared" si="9"/>
        <v>0</v>
      </c>
      <c r="E50" s="49">
        <f>MAX(C50:D50)</f>
        <v>2.36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1.18</v>
      </c>
      <c r="D51" s="49">
        <f>IF(($E45&gt;0),D45,D44)</f>
        <v>0</v>
      </c>
      <c r="E51" s="49">
        <f>MAX(C51:D51)</f>
        <v>1.18</v>
      </c>
      <c r="G51" s="1" t="str">
        <f>G45</f>
        <v>per 100 youth petitioned</v>
      </c>
      <c r="L51" s="58">
        <f>IF(($E45&gt;0),L45,L44)</f>
        <v>100</v>
      </c>
      <c r="M51" s="58"/>
    </row>
    <row r="52" spans="2:18" ht="15" hidden="1" customHeight="1">
      <c r="B52" s="49" t="str">
        <f>IF(($E46&gt;0),B46,B45)</f>
        <v>per 100 youth found delinquent</v>
      </c>
      <c r="C52" s="49">
        <f>IF(($E46&gt;0),C46,C45)</f>
        <v>0.62</v>
      </c>
      <c r="D52" s="49">
        <f>IF(($E46&gt;0),D46,D45)</f>
        <v>0</v>
      </c>
      <c r="E52" s="56">
        <f>MAX(C52:D52)</f>
        <v>0.62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27.565000000000001</v>
      </c>
      <c r="D54" s="56">
        <f>D48</f>
        <v>0.22500000000000001</v>
      </c>
      <c r="E54" s="56">
        <f>MAX(C54:D54)</f>
        <v>27.565000000000001</v>
      </c>
      <c r="G54" s="1" t="str">
        <f>G48</f>
        <v>per 1000 youth</v>
      </c>
      <c r="L54" s="58">
        <f>L48</f>
        <v>1000</v>
      </c>
      <c r="M54" s="58"/>
    </row>
    <row r="55" spans="2:18" ht="15" hidden="1" customHeight="1">
      <c r="B55" s="49" t="str">
        <f t="shared" ref="B55:D56" si="10">IF(($E49&gt;0),B49,B48)</f>
        <v>per 100 arrests</v>
      </c>
      <c r="C55" s="49">
        <f t="shared" si="10"/>
        <v>1.79</v>
      </c>
      <c r="D55" s="49">
        <f t="shared" si="10"/>
        <v>0</v>
      </c>
      <c r="E55" s="49">
        <f>MAX(C55:D55)</f>
        <v>1.79</v>
      </c>
      <c r="G55" s="1" t="str">
        <f>G49</f>
        <v>per 100 arrests</v>
      </c>
      <c r="L55" s="58">
        <f>IF(($E49&gt;0),L49,L48)</f>
        <v>100</v>
      </c>
      <c r="M55" s="58"/>
    </row>
    <row r="56" spans="2:18" ht="15" hidden="1" customHeight="1">
      <c r="B56" s="49" t="str">
        <f t="shared" si="10"/>
        <v>per 100 referrals</v>
      </c>
      <c r="C56" s="49">
        <f t="shared" si="10"/>
        <v>2.36</v>
      </c>
      <c r="D56" s="49">
        <f t="shared" si="10"/>
        <v>0</v>
      </c>
      <c r="E56" s="49">
        <f>MAX(C56:D56)</f>
        <v>2.36</v>
      </c>
      <c r="G56" s="1" t="str">
        <f>G50</f>
        <v>per 100 referrals</v>
      </c>
      <c r="L56" s="58">
        <f>IF(($E50&gt;0),L50,L49)</f>
        <v>100</v>
      </c>
      <c r="M56" s="58"/>
    </row>
    <row r="57" spans="2:18" ht="15" hidden="1" customHeight="1">
      <c r="B57" s="49" t="str">
        <f>IF(($E51&gt;0),B51,B49)</f>
        <v>per 100 youth petitioned</v>
      </c>
      <c r="C57" s="49">
        <f>IF(($E51&gt;0),C51,C50)</f>
        <v>1.18</v>
      </c>
      <c r="D57" s="49">
        <f>IF(($E51&gt;0),D51,D50)</f>
        <v>0</v>
      </c>
      <c r="E57" s="49">
        <f>MAX(C57:D57)</f>
        <v>1.18</v>
      </c>
      <c r="G57" s="1" t="str">
        <f>G51</f>
        <v>per 100 youth petitioned</v>
      </c>
      <c r="L57" s="58">
        <f>IF(($E51&gt;0),L51,L50)</f>
        <v>100</v>
      </c>
      <c r="M57" s="58"/>
    </row>
    <row r="58" spans="2:18" ht="15" hidden="1" customHeight="1">
      <c r="B58" s="49" t="str">
        <f>IF(($E52&gt;0),B52,B51)</f>
        <v>per 100 youth found delinquent</v>
      </c>
      <c r="C58" s="49">
        <f>IF(($E52&gt;0),C52,C51)</f>
        <v>0.62</v>
      </c>
      <c r="D58" s="49">
        <f>IF(($E52&gt;0),D52,D51)</f>
        <v>0</v>
      </c>
      <c r="E58" s="56">
        <f>MAX(C58:D58)</f>
        <v>0.62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27.565000000000001</v>
      </c>
      <c r="D60" s="56">
        <f>D54</f>
        <v>0.22500000000000001</v>
      </c>
      <c r="E60" s="56">
        <f>MAX(C60:D60)</f>
        <v>27.565000000000001</v>
      </c>
      <c r="G60" s="1" t="str">
        <f>G54</f>
        <v>per 1000 youth</v>
      </c>
      <c r="L60" s="58">
        <f>L54</f>
        <v>1000</v>
      </c>
      <c r="M60" s="58"/>
    </row>
    <row r="61" spans="2:18" ht="15" hidden="1" customHeight="1">
      <c r="B61" s="49" t="str">
        <f t="shared" ref="B61:D62" si="11">IF(($E55&gt;0),B55,B54)</f>
        <v>per 100 arrests</v>
      </c>
      <c r="C61" s="49">
        <f t="shared" si="11"/>
        <v>1.79</v>
      </c>
      <c r="D61" s="49">
        <f t="shared" si="11"/>
        <v>0</v>
      </c>
      <c r="E61" s="49">
        <f>MAX(C61:D61)</f>
        <v>1.79</v>
      </c>
      <c r="G61" s="1" t="str">
        <f>G55</f>
        <v>per 100 arrests</v>
      </c>
      <c r="L61" s="58">
        <f>IF(($E55&gt;0),L55,L54)</f>
        <v>100</v>
      </c>
      <c r="M61" s="58"/>
    </row>
    <row r="62" spans="2:18" ht="15" hidden="1" customHeight="1">
      <c r="B62" s="49" t="str">
        <f t="shared" si="11"/>
        <v>per 100 referrals</v>
      </c>
      <c r="C62" s="49">
        <f t="shared" si="11"/>
        <v>2.36</v>
      </c>
      <c r="D62" s="49">
        <f t="shared" si="11"/>
        <v>0</v>
      </c>
      <c r="E62" s="49">
        <f>MAX(C62:D62)</f>
        <v>2.36</v>
      </c>
      <c r="G62" s="1" t="str">
        <f>G56</f>
        <v>per 100 referrals</v>
      </c>
      <c r="L62" s="58">
        <f>IF(($E56&gt;0),L56,L55)</f>
        <v>100</v>
      </c>
      <c r="M62" s="58"/>
    </row>
    <row r="63" spans="2:18" ht="15" hidden="1" customHeight="1">
      <c r="B63" s="49" t="str">
        <f>IF(($E57&gt;0),B57,B55)</f>
        <v>per 100 youth petitioned</v>
      </c>
      <c r="C63" s="49">
        <f>IF(($E57&gt;0),C57,C56)</f>
        <v>1.18</v>
      </c>
      <c r="D63" s="49">
        <f>IF(($E57&gt;0),D57,D56)</f>
        <v>0</v>
      </c>
      <c r="E63" s="49">
        <f>MAX(C63:D63)</f>
        <v>1.18</v>
      </c>
      <c r="G63" s="1" t="str">
        <f>G57</f>
        <v>per 100 youth petitioned</v>
      </c>
      <c r="L63" s="58">
        <f>IF(($E57&gt;0),L57,L56)</f>
        <v>100</v>
      </c>
      <c r="M63" s="58"/>
    </row>
    <row r="64" spans="2:18" ht="15" hidden="1" customHeight="1">
      <c r="B64" s="49" t="str">
        <f>IF(($E58&gt;0),B58,B57)</f>
        <v>per 100 youth found delinquent</v>
      </c>
      <c r="C64" s="49">
        <f>IF(($E58&gt;0),C58,C57)</f>
        <v>0.62</v>
      </c>
      <c r="D64" s="49">
        <f>IF(($E58&gt;0),D58,D57)</f>
        <v>0</v>
      </c>
      <c r="E64" s="56">
        <f>MAX(C64:D64)</f>
        <v>0.62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27.565000000000001</v>
      </c>
      <c r="D66" s="56">
        <f>D60</f>
        <v>0.22500000000000001</v>
      </c>
      <c r="E66" s="56">
        <f>MAX(C66:D66)</f>
        <v>27.565000000000001</v>
      </c>
      <c r="G66" s="1" t="str">
        <f>G60</f>
        <v>per 1000 youth</v>
      </c>
      <c r="L66" s="58">
        <f>L60</f>
        <v>1000</v>
      </c>
      <c r="M66" s="58">
        <f>IF((B66=G66),1,2)</f>
        <v>1</v>
      </c>
    </row>
    <row r="67" spans="2:13" ht="15" hidden="1" customHeight="1">
      <c r="B67" s="49" t="str">
        <f t="shared" ref="B67:D68" si="12">IF(($E61&gt;0),B61,B60)</f>
        <v>per 100 arrests</v>
      </c>
      <c r="C67" s="49">
        <f t="shared" si="12"/>
        <v>1.79</v>
      </c>
      <c r="D67" s="49">
        <f t="shared" si="12"/>
        <v>0</v>
      </c>
      <c r="E67" s="49">
        <f>MAX(C67:D67)</f>
        <v>1.79</v>
      </c>
      <c r="G67" s="1" t="str">
        <f>G61</f>
        <v>per 100 arrests</v>
      </c>
      <c r="L67" s="58">
        <f>IF(($E61&gt;0),L61,L60)</f>
        <v>100</v>
      </c>
      <c r="M67" s="58">
        <f>IF((B67=G67),1,2)</f>
        <v>1</v>
      </c>
    </row>
    <row r="68" spans="2:13" ht="15" hidden="1" customHeight="1">
      <c r="B68" s="49" t="str">
        <f t="shared" si="12"/>
        <v>per 100 referrals</v>
      </c>
      <c r="C68" s="49">
        <f t="shared" si="12"/>
        <v>2.36</v>
      </c>
      <c r="D68" s="49">
        <f t="shared" si="12"/>
        <v>0</v>
      </c>
      <c r="E68" s="49">
        <f>MAX(C68:D68)</f>
        <v>2.36</v>
      </c>
      <c r="G68" s="1" t="str">
        <f>G62</f>
        <v>per 100 referrals</v>
      </c>
      <c r="L68" s="58">
        <f>IF(($E62&gt;0),L62,L61)</f>
        <v>100</v>
      </c>
      <c r="M68" s="58">
        <f>IF((B68=G68),1,2)</f>
        <v>1</v>
      </c>
    </row>
    <row r="69" spans="2:13" ht="15" hidden="1" customHeight="1">
      <c r="B69" s="49" t="str">
        <f>IF(($E63&gt;0),B63,B61)</f>
        <v>per 100 youth petitioned</v>
      </c>
      <c r="C69" s="49">
        <f>IF(($E63&gt;0),C63,C62)</f>
        <v>1.18</v>
      </c>
      <c r="D69" s="49">
        <f>IF(($E63&gt;0),D63,D62)</f>
        <v>0</v>
      </c>
      <c r="E69" s="49">
        <f>MAX(C69:D69)</f>
        <v>1.18</v>
      </c>
      <c r="G69" s="1" t="str">
        <f>G63</f>
        <v>per 100 youth petitioned</v>
      </c>
      <c r="L69" s="58">
        <f>IF(($E63&gt;0),L63,L62)</f>
        <v>100</v>
      </c>
      <c r="M69" s="58">
        <f>IF((B69=G69),1,2)</f>
        <v>1</v>
      </c>
    </row>
    <row r="70" spans="2:13" ht="15" hidden="1" customHeight="1">
      <c r="B70" s="49" t="str">
        <f>IF(($E64&gt;0),B64,B63)</f>
        <v>per 100 youth found delinquent</v>
      </c>
      <c r="C70" s="49">
        <f>IF(($E64&gt;0),C64,C63)</f>
        <v>0.62</v>
      </c>
      <c r="D70" s="49">
        <f>IF(($E64&gt;0),D64,D63)</f>
        <v>0</v>
      </c>
      <c r="E70" s="56">
        <f>MAX(C70:D70)</f>
        <v>0.62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U47JMPN4QEAR-1806752177-35344</_dlc_DocId>
    <_dlc_DocIdUrl xmlns="ac3811b5-0f3e-49e2-ba69-f2ffa0c782af">
      <Url>https://michiganphi.sharepoint.com/sites/CMDMC/_layouts/15/DocIdRedir.aspx?ID=U47JMPN4QEAR-1806752177-35344</Url>
      <Description>U47JMPN4QEAR-1806752177-35344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F2779DA-A9B6-403D-9E86-9AF48D59E0A8}"/>
</file>

<file path=customXml/itemProps2.xml><?xml version="1.0" encoding="utf-8"?>
<ds:datastoreItem xmlns:ds="http://schemas.openxmlformats.org/officeDocument/2006/customXml" ds:itemID="{2C5FBC82-89BB-433F-9AEE-E7F03766B18B}">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3.xml><?xml version="1.0" encoding="utf-8"?>
<ds:datastoreItem xmlns:ds="http://schemas.openxmlformats.org/officeDocument/2006/customXml" ds:itemID="{A46FCA85-6BE2-4C83-ABC4-AA0E557F5B99}">
  <ds:schemaRefs>
    <ds:schemaRef ds:uri="http://schemas.microsoft.com/sharepoint/v3/contenttype/forms"/>
  </ds:schemaRefs>
</ds:datastoreItem>
</file>

<file path=customXml/itemProps4.xml><?xml version="1.0" encoding="utf-8"?>
<ds:datastoreItem xmlns:ds="http://schemas.openxmlformats.org/officeDocument/2006/customXml" ds:itemID="{09874DAF-03D8-4682-BF3B-1E6AC5BF5B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8dbe65bf-572b-45ec-8f2d-b3a84390baf0</vt:lpwstr>
  </property>
</Properties>
</file>