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ml.chartshap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codeName="ThisWorkbook"/>
  <mc:AlternateContent xmlns:mc="http://schemas.openxmlformats.org/markup-compatibility/2006">
    <mc:Choice Requires="x15">
      <x15ac:absPath xmlns:x15ac="http://schemas.microsoft.com/office/spreadsheetml/2010/11/ac" url="K:\204 DHS Crime Analysis\Crime Analysis Report\2021 DMC Data\County Matrices\"/>
    </mc:Choice>
  </mc:AlternateContent>
  <xr:revisionPtr revIDLastSave="0" documentId="13_ncr:1_{F78E03B8-DD3A-4FDF-925C-5766C31AF9DF}" xr6:coauthVersionLast="47" xr6:coauthVersionMax="47" xr10:uidLastSave="{00000000-0000-0000-0000-000000000000}"/>
  <bookViews>
    <workbookView xWindow="-120" yWindow="-120" windowWidth="24240" windowHeight="13140" activeTab="1" xr2:uid="{00000000-000D-0000-FFFF-FFFF00000000}"/>
  </bookViews>
  <sheets>
    <sheet name="Data Entry" sheetId="1" r:id="rId1"/>
    <sheet name="Standard Display" sheetId="13" r:id="rId2"/>
    <sheet name="Stacked 100%" sheetId="17" r:id="rId3"/>
    <sheet name="Narrow Display" sheetId="16" r:id="rId4"/>
    <sheet name="Black or African-American" sheetId="2" r:id="rId5"/>
    <sheet name="Asian" sheetId="3" r:id="rId6"/>
    <sheet name="Hispanic" sheetId="4" r:id="rId7"/>
    <sheet name="Hawaiian" sheetId="5" r:id="rId8"/>
    <sheet name="Am Indian" sheetId="6" r:id="rId9"/>
    <sheet name="Other - Mixed" sheetId="7" r:id="rId10"/>
    <sheet name="All Minorities" sheetId="8" r:id="rId11"/>
    <sheet name="Summary" sheetId="9" r:id="rId12"/>
    <sheet name="Population based rates" sheetId="10" r:id="rId13"/>
    <sheet name="Defaults" sheetId="11" r:id="rId14"/>
  </sheets>
  <definedNames>
    <definedName name="_GoBack" localSheetId="0">'Data Entry'!$A$19</definedName>
    <definedName name="_xlnm.Print_Area" localSheetId="3">'Narrow Display'!$B$2:$K$26</definedName>
    <definedName name="_xlnm.Print_Area" localSheetId="12">'Population based rates'!$B$14:$K$30</definedName>
    <definedName name="_xlnm.Print_Area" localSheetId="1">'Standard Display'!$B$2:$Q$26</definedName>
    <definedName name="_xlnm.Print_Area" localSheetId="11">Summary!$B$2:$I$25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6" i="17" l="1"/>
  <c r="B8" i="1"/>
  <c r="B9" i="1"/>
  <c r="B10" i="1"/>
  <c r="B11" i="1"/>
  <c r="B12" i="1"/>
  <c r="B13" i="1"/>
  <c r="B14" i="1"/>
  <c r="B15" i="1"/>
  <c r="B7" i="1" l="1"/>
  <c r="B7" i="13" l="1"/>
  <c r="H4" i="16"/>
  <c r="B4" i="16" l="1"/>
  <c r="B7" i="16" l="1"/>
  <c r="B6" i="17"/>
  <c r="H7" i="16" l="1"/>
  <c r="F7" i="16"/>
  <c r="D7" i="16"/>
  <c r="C7" i="16"/>
  <c r="N7" i="13"/>
  <c r="L7" i="13"/>
  <c r="J7" i="13"/>
  <c r="H7" i="13"/>
  <c r="F7" i="13"/>
  <c r="D7" i="13"/>
  <c r="C7" i="13"/>
  <c r="A5" i="17" l="1"/>
  <c r="G6" i="17" l="1"/>
  <c r="C6" i="17"/>
  <c r="D6" i="17"/>
  <c r="E6" i="17"/>
  <c r="F6" i="17"/>
  <c r="I6" i="17"/>
  <c r="E30" i="16" l="1"/>
  <c r="B30" i="16"/>
  <c r="E29" i="16"/>
  <c r="B29" i="16"/>
  <c r="E28" i="16"/>
  <c r="B28" i="16"/>
  <c r="E27" i="16"/>
  <c r="B27" i="16"/>
  <c r="E26" i="16"/>
  <c r="B26" i="16"/>
  <c r="B25" i="16"/>
  <c r="H16" i="16"/>
  <c r="F16" i="16"/>
  <c r="D16" i="16"/>
  <c r="C16" i="16"/>
  <c r="H15" i="16"/>
  <c r="F15" i="16"/>
  <c r="D15" i="16"/>
  <c r="C15" i="16"/>
  <c r="H14" i="16"/>
  <c r="F14" i="16"/>
  <c r="D14" i="16"/>
  <c r="C14" i="16"/>
  <c r="H13" i="16"/>
  <c r="F13" i="16"/>
  <c r="D13" i="16"/>
  <c r="C13" i="16"/>
  <c r="H12" i="16"/>
  <c r="F12" i="16"/>
  <c r="D12" i="16"/>
  <c r="C12" i="16"/>
  <c r="H11" i="16"/>
  <c r="F11" i="16"/>
  <c r="D11" i="16"/>
  <c r="C11" i="16"/>
  <c r="H10" i="16"/>
  <c r="F10" i="16"/>
  <c r="D10" i="16"/>
  <c r="C10" i="16"/>
  <c r="H9" i="16"/>
  <c r="F9" i="16"/>
  <c r="D9" i="16"/>
  <c r="C9" i="16"/>
  <c r="H8" i="16"/>
  <c r="F8" i="16"/>
  <c r="D8" i="16"/>
  <c r="C8" i="16"/>
  <c r="J5" i="16"/>
  <c r="H3" i="16"/>
  <c r="B3" i="16"/>
  <c r="B26" i="13" l="1"/>
  <c r="E26" i="13"/>
  <c r="B27" i="13"/>
  <c r="E27" i="13"/>
  <c r="B28" i="13"/>
  <c r="E28" i="13"/>
  <c r="B29" i="13"/>
  <c r="E29" i="13"/>
  <c r="B30" i="13"/>
  <c r="E30" i="13"/>
  <c r="B25" i="13"/>
  <c r="L5" i="13" l="1"/>
  <c r="N5" i="13"/>
  <c r="P5" i="13"/>
  <c r="B4" i="13" l="1"/>
  <c r="N4" i="13"/>
  <c r="B3" i="13"/>
  <c r="N3" i="13"/>
  <c r="F10" i="13" l="1"/>
  <c r="F1" i="2" l="1"/>
  <c r="C6" i="9" s="1"/>
  <c r="B2" i="2"/>
  <c r="B3" i="2"/>
  <c r="B6" i="2"/>
  <c r="B7" i="2"/>
  <c r="D7" i="11"/>
  <c r="B8" i="2"/>
  <c r="B9" i="2"/>
  <c r="B10" i="2"/>
  <c r="B11" i="2"/>
  <c r="B12" i="2"/>
  <c r="B13" i="2"/>
  <c r="B14" i="2"/>
  <c r="B15" i="2"/>
  <c r="B48" i="2"/>
  <c r="B54" i="2"/>
  <c r="B60" i="2"/>
  <c r="B66" i="2" s="1"/>
  <c r="J27" i="2"/>
  <c r="G42" i="2"/>
  <c r="G48" i="2"/>
  <c r="G54" i="2"/>
  <c r="G60" i="2" s="1"/>
  <c r="G66" i="2" s="1"/>
  <c r="G43" i="2"/>
  <c r="G44" i="2"/>
  <c r="G50" i="2"/>
  <c r="G56" i="2" s="1"/>
  <c r="G62" i="2" s="1"/>
  <c r="G68" i="2" s="1"/>
  <c r="G45" i="2"/>
  <c r="G51" i="2" s="1"/>
  <c r="G57" i="2" s="1"/>
  <c r="G63" i="2" s="1"/>
  <c r="G69" i="2" s="1"/>
  <c r="G46" i="2"/>
  <c r="G52" i="2" s="1"/>
  <c r="G58" i="2" s="1"/>
  <c r="G64" i="2" s="1"/>
  <c r="G70" i="2" s="1"/>
  <c r="L48" i="2"/>
  <c r="L54" i="2" s="1"/>
  <c r="L60" i="2" s="1"/>
  <c r="L66" i="2" s="1"/>
  <c r="G49" i="2"/>
  <c r="G55" i="2"/>
  <c r="G61" i="2"/>
  <c r="G67" i="2"/>
  <c r="F1" i="3"/>
  <c r="B2" i="3"/>
  <c r="B3" i="3"/>
  <c r="B6" i="3"/>
  <c r="B7" i="3"/>
  <c r="B8" i="3"/>
  <c r="B9" i="3"/>
  <c r="B10" i="3"/>
  <c r="B11" i="3"/>
  <c r="B12" i="3"/>
  <c r="B13" i="3"/>
  <c r="B14" i="3"/>
  <c r="B15" i="3"/>
  <c r="B48" i="3"/>
  <c r="B54" i="3"/>
  <c r="B60" i="3"/>
  <c r="B66" i="3" s="1"/>
  <c r="J27" i="3"/>
  <c r="G42" i="3"/>
  <c r="G43" i="3"/>
  <c r="G49" i="3"/>
  <c r="G55" i="3"/>
  <c r="G61" i="3" s="1"/>
  <c r="G67" i="3" s="1"/>
  <c r="G44" i="3"/>
  <c r="G50" i="3"/>
  <c r="G56" i="3"/>
  <c r="G62" i="3"/>
  <c r="G68" i="3" s="1"/>
  <c r="G45" i="3"/>
  <c r="G51" i="3" s="1"/>
  <c r="G57" i="3" s="1"/>
  <c r="G63" i="3" s="1"/>
  <c r="G69" i="3" s="1"/>
  <c r="G46" i="3"/>
  <c r="G48" i="3"/>
  <c r="G54" i="3"/>
  <c r="G60" i="3"/>
  <c r="G66" i="3" s="1"/>
  <c r="L48" i="3"/>
  <c r="G52" i="3"/>
  <c r="G58" i="3" s="1"/>
  <c r="G64" i="3" s="1"/>
  <c r="G70" i="3" s="1"/>
  <c r="L54" i="3"/>
  <c r="L60" i="3"/>
  <c r="L66" i="3"/>
  <c r="F1" i="4"/>
  <c r="B2" i="4"/>
  <c r="B3" i="4"/>
  <c r="B6" i="4"/>
  <c r="B7" i="4"/>
  <c r="B8" i="4"/>
  <c r="B9" i="4"/>
  <c r="E9" i="4"/>
  <c r="N9" i="4" s="1"/>
  <c r="B10" i="4"/>
  <c r="B11" i="4"/>
  <c r="B12" i="4"/>
  <c r="B13" i="4"/>
  <c r="B14" i="4"/>
  <c r="B15" i="4"/>
  <c r="B48" i="4"/>
  <c r="B54" i="4"/>
  <c r="B60" i="4"/>
  <c r="B66" i="4" s="1"/>
  <c r="J27" i="4"/>
  <c r="G42" i="4"/>
  <c r="G48" i="4" s="1"/>
  <c r="G54" i="4" s="1"/>
  <c r="G60" i="4" s="1"/>
  <c r="G66" i="4" s="1"/>
  <c r="G43" i="4"/>
  <c r="G49" i="4" s="1"/>
  <c r="G55" i="4" s="1"/>
  <c r="G61" i="4" s="1"/>
  <c r="G67" i="4" s="1"/>
  <c r="G44" i="4"/>
  <c r="G45" i="4"/>
  <c r="G51" i="4" s="1"/>
  <c r="G57" i="4" s="1"/>
  <c r="G63" i="4" s="1"/>
  <c r="G69" i="4" s="1"/>
  <c r="G46" i="4"/>
  <c r="L48" i="4"/>
  <c r="L54" i="4"/>
  <c r="L60" i="4" s="1"/>
  <c r="L66" i="4" s="1"/>
  <c r="G50" i="4"/>
  <c r="G56" i="4" s="1"/>
  <c r="G62" i="4" s="1"/>
  <c r="G68" i="4" s="1"/>
  <c r="G52" i="4"/>
  <c r="G58" i="4" s="1"/>
  <c r="G64" i="4" s="1"/>
  <c r="G70" i="4" s="1"/>
  <c r="F1" i="5"/>
  <c r="J5" i="13" s="1"/>
  <c r="B2" i="5"/>
  <c r="B3" i="5"/>
  <c r="B6" i="5"/>
  <c r="B7" i="5"/>
  <c r="B8" i="5"/>
  <c r="B9" i="5"/>
  <c r="B10" i="5"/>
  <c r="B11" i="5"/>
  <c r="B12" i="5"/>
  <c r="B13" i="5"/>
  <c r="B14" i="5"/>
  <c r="B15" i="5"/>
  <c r="B48" i="5"/>
  <c r="B54" i="5" s="1"/>
  <c r="B60" i="5" s="1"/>
  <c r="B66" i="5" s="1"/>
  <c r="J27" i="5"/>
  <c r="G42" i="5"/>
  <c r="G43" i="5"/>
  <c r="G49" i="5" s="1"/>
  <c r="G55" i="5" s="1"/>
  <c r="G61" i="5" s="1"/>
  <c r="G67" i="5" s="1"/>
  <c r="G44" i="5"/>
  <c r="G50" i="5" s="1"/>
  <c r="G56" i="5" s="1"/>
  <c r="G62" i="5" s="1"/>
  <c r="G68" i="5" s="1"/>
  <c r="G45" i="5"/>
  <c r="G51" i="5" s="1"/>
  <c r="G57" i="5" s="1"/>
  <c r="G63" i="5" s="1"/>
  <c r="G69" i="5" s="1"/>
  <c r="G46" i="5"/>
  <c r="G48" i="5"/>
  <c r="G54" i="5" s="1"/>
  <c r="G60" i="5" s="1"/>
  <c r="G66" i="5" s="1"/>
  <c r="L48" i="5"/>
  <c r="G52" i="5"/>
  <c r="G58" i="5" s="1"/>
  <c r="G64" i="5" s="1"/>
  <c r="G70" i="5" s="1"/>
  <c r="L54" i="5"/>
  <c r="L60" i="5" s="1"/>
  <c r="L66" i="5" s="1"/>
  <c r="F1" i="6"/>
  <c r="B2" i="6"/>
  <c r="B3" i="6"/>
  <c r="B6" i="6"/>
  <c r="B7" i="6"/>
  <c r="B8" i="6"/>
  <c r="B9" i="6"/>
  <c r="B10" i="6"/>
  <c r="B11" i="6"/>
  <c r="B12" i="6"/>
  <c r="B13" i="6"/>
  <c r="B14" i="6"/>
  <c r="B15" i="6"/>
  <c r="B48" i="6"/>
  <c r="B54" i="6" s="1"/>
  <c r="B60" i="6" s="1"/>
  <c r="B66" i="6" s="1"/>
  <c r="J27" i="6"/>
  <c r="G42" i="6"/>
  <c r="G48" i="6" s="1"/>
  <c r="G54" i="6" s="1"/>
  <c r="G60" i="6" s="1"/>
  <c r="G66" i="6" s="1"/>
  <c r="G43" i="6"/>
  <c r="G49" i="6" s="1"/>
  <c r="G55" i="6" s="1"/>
  <c r="G61" i="6" s="1"/>
  <c r="G67" i="6" s="1"/>
  <c r="G44" i="6"/>
  <c r="G45" i="6"/>
  <c r="G51" i="6" s="1"/>
  <c r="G57" i="6" s="1"/>
  <c r="G63" i="6" s="1"/>
  <c r="G69" i="6" s="1"/>
  <c r="G46" i="6"/>
  <c r="G52" i="6" s="1"/>
  <c r="G58" i="6" s="1"/>
  <c r="G64" i="6" s="1"/>
  <c r="G70" i="6" s="1"/>
  <c r="L48" i="6"/>
  <c r="L54" i="6" s="1"/>
  <c r="L60" i="6" s="1"/>
  <c r="L66" i="6" s="1"/>
  <c r="G50" i="6"/>
  <c r="G56" i="6"/>
  <c r="G62" i="6" s="1"/>
  <c r="G68" i="6" s="1"/>
  <c r="F1" i="7"/>
  <c r="B2" i="7"/>
  <c r="B3" i="7"/>
  <c r="B6" i="7"/>
  <c r="B7" i="7"/>
  <c r="B8" i="7"/>
  <c r="B9" i="7"/>
  <c r="B10" i="7"/>
  <c r="B11" i="7"/>
  <c r="B12" i="7"/>
  <c r="B13" i="7"/>
  <c r="B14" i="7"/>
  <c r="B15" i="7"/>
  <c r="B48" i="7"/>
  <c r="B54" i="7" s="1"/>
  <c r="B60" i="7" s="1"/>
  <c r="B66" i="7" s="1"/>
  <c r="J27" i="7"/>
  <c r="G42" i="7"/>
  <c r="G48" i="7" s="1"/>
  <c r="G54" i="7" s="1"/>
  <c r="G60" i="7" s="1"/>
  <c r="G66" i="7" s="1"/>
  <c r="G43" i="7"/>
  <c r="G49" i="7" s="1"/>
  <c r="G55" i="7" s="1"/>
  <c r="G61" i="7" s="1"/>
  <c r="G67" i="7" s="1"/>
  <c r="G44" i="7"/>
  <c r="G45" i="7"/>
  <c r="G51" i="7"/>
  <c r="G57" i="7"/>
  <c r="G63" i="7" s="1"/>
  <c r="G69" i="7" s="1"/>
  <c r="G46" i="7"/>
  <c r="L48" i="7"/>
  <c r="G50" i="7"/>
  <c r="G56" i="7" s="1"/>
  <c r="G62" i="7" s="1"/>
  <c r="G68" i="7" s="1"/>
  <c r="G52" i="7"/>
  <c r="G58" i="7" s="1"/>
  <c r="G64" i="7" s="1"/>
  <c r="G70" i="7" s="1"/>
  <c r="L54" i="7"/>
  <c r="L60" i="7"/>
  <c r="L66" i="7" s="1"/>
  <c r="F1" i="8"/>
  <c r="B2" i="8"/>
  <c r="B3" i="8"/>
  <c r="B6" i="8"/>
  <c r="B7" i="8"/>
  <c r="B8" i="8"/>
  <c r="B9" i="8"/>
  <c r="B10" i="8"/>
  <c r="B11" i="8"/>
  <c r="B12" i="8"/>
  <c r="B13" i="8"/>
  <c r="B14" i="8"/>
  <c r="B15" i="8"/>
  <c r="B48" i="8"/>
  <c r="B54" i="8" s="1"/>
  <c r="B60" i="8" s="1"/>
  <c r="B66" i="8" s="1"/>
  <c r="J27" i="8"/>
  <c r="G42" i="8"/>
  <c r="G43" i="8"/>
  <c r="G49" i="8" s="1"/>
  <c r="G55" i="8" s="1"/>
  <c r="G61" i="8" s="1"/>
  <c r="G67" i="8" s="1"/>
  <c r="G44" i="8"/>
  <c r="G45" i="8"/>
  <c r="G46" i="8"/>
  <c r="G52" i="8" s="1"/>
  <c r="G58" i="8" s="1"/>
  <c r="G64" i="8" s="1"/>
  <c r="G70" i="8" s="1"/>
  <c r="G48" i="8"/>
  <c r="G54" i="8"/>
  <c r="G60" i="8" s="1"/>
  <c r="G66" i="8" s="1"/>
  <c r="L48" i="8"/>
  <c r="G50" i="8"/>
  <c r="G56" i="8" s="1"/>
  <c r="G62" i="8" s="1"/>
  <c r="G68" i="8" s="1"/>
  <c r="G51" i="8"/>
  <c r="G57" i="8" s="1"/>
  <c r="G63" i="8" s="1"/>
  <c r="G69" i="8" s="1"/>
  <c r="L54" i="8"/>
  <c r="L60" i="8"/>
  <c r="L66" i="8" s="1"/>
  <c r="E3" i="9"/>
  <c r="B4" i="9"/>
  <c r="E4" i="9"/>
  <c r="B5" i="9"/>
  <c r="D6" i="9"/>
  <c r="E6" i="9"/>
  <c r="G6" i="9"/>
  <c r="H6" i="9"/>
  <c r="I6" i="9"/>
  <c r="B18" i="9"/>
  <c r="E2" i="10"/>
  <c r="D18" i="10" s="1"/>
  <c r="F2" i="10"/>
  <c r="E18" i="10" s="1"/>
  <c r="G2" i="10"/>
  <c r="F18" i="10" s="1"/>
  <c r="H2" i="10"/>
  <c r="G18" i="10" s="1"/>
  <c r="I2" i="10"/>
  <c r="H18" i="10" s="1"/>
  <c r="J2" i="10"/>
  <c r="I18" i="10" s="1"/>
  <c r="B3" i="10"/>
  <c r="F15" i="10"/>
  <c r="B16" i="10"/>
  <c r="F16" i="10"/>
  <c r="B17" i="10"/>
  <c r="C18" i="10"/>
  <c r="J18" i="10"/>
  <c r="B30" i="10"/>
  <c r="A15" i="11"/>
  <c r="F27" i="6" l="1"/>
  <c r="M66" i="6"/>
  <c r="F27" i="5"/>
  <c r="M66" i="5"/>
  <c r="F27" i="4"/>
  <c r="M66" i="4"/>
  <c r="F27" i="3"/>
  <c r="M66" i="3"/>
  <c r="F27" i="2"/>
  <c r="M66" i="2"/>
  <c r="M66" i="7"/>
  <c r="F27" i="7"/>
  <c r="M66" i="8"/>
  <c r="F27" i="8"/>
  <c r="H5" i="16"/>
  <c r="H5" i="13"/>
  <c r="F5" i="16"/>
  <c r="F5" i="13"/>
  <c r="F6" i="9"/>
  <c r="D5" i="16"/>
  <c r="D5" i="13"/>
  <c r="D10" i="13"/>
  <c r="C8" i="13"/>
  <c r="C10" i="13"/>
  <c r="C16" i="13"/>
  <c r="C15" i="13"/>
  <c r="D14" i="13"/>
  <c r="D13" i="13"/>
  <c r="D11" i="13"/>
  <c r="D9" i="13"/>
  <c r="D15" i="13"/>
  <c r="C14" i="13"/>
  <c r="C13" i="13"/>
  <c r="C11" i="13"/>
  <c r="C9" i="13"/>
  <c r="D8" i="13"/>
  <c r="E8" i="3" l="1"/>
  <c r="D44" i="3" s="1"/>
  <c r="H9" i="13"/>
  <c r="E12" i="5"/>
  <c r="D46" i="5" s="1"/>
  <c r="J13" i="13"/>
  <c r="E13" i="5"/>
  <c r="N13" i="5" s="1"/>
  <c r="J14" i="13"/>
  <c r="E14" i="7"/>
  <c r="N14" i="7" s="1"/>
  <c r="N15" i="13"/>
  <c r="E10" i="5"/>
  <c r="N10" i="5" s="1"/>
  <c r="J11" i="13"/>
  <c r="E12" i="7"/>
  <c r="N12" i="7" s="1"/>
  <c r="N13" i="13"/>
  <c r="E15" i="7"/>
  <c r="N15" i="7" s="1"/>
  <c r="N16" i="13"/>
  <c r="E12" i="3"/>
  <c r="N12" i="3" s="1"/>
  <c r="H13" i="13"/>
  <c r="E11" i="3"/>
  <c r="D45" i="3" s="1"/>
  <c r="H12" i="13"/>
  <c r="E7" i="4"/>
  <c r="D43" i="4" s="1"/>
  <c r="F8" i="13"/>
  <c r="E12" i="6"/>
  <c r="D46" i="6" s="1"/>
  <c r="L13" i="13"/>
  <c r="E13" i="7"/>
  <c r="N13" i="7" s="1"/>
  <c r="N14" i="13"/>
  <c r="E15" i="4"/>
  <c r="N15" i="4" s="1"/>
  <c r="F16" i="13"/>
  <c r="E9" i="3"/>
  <c r="N9" i="3" s="1"/>
  <c r="H10" i="13"/>
  <c r="E14" i="4"/>
  <c r="N14" i="4" s="1"/>
  <c r="F15" i="13"/>
  <c r="E13" i="3"/>
  <c r="N13" i="3" s="1"/>
  <c r="H14" i="13"/>
  <c r="E11" i="6"/>
  <c r="D45" i="6" s="1"/>
  <c r="L12" i="13"/>
  <c r="E7" i="3"/>
  <c r="D43" i="3" s="1"/>
  <c r="H8" i="13"/>
  <c r="E10" i="4"/>
  <c r="N10" i="4" s="1"/>
  <c r="F11" i="13"/>
  <c r="E10" i="6"/>
  <c r="N10" i="6" s="1"/>
  <c r="L11" i="13"/>
  <c r="E7" i="6"/>
  <c r="N7" i="6" s="1"/>
  <c r="L8" i="13"/>
  <c r="E10" i="7"/>
  <c r="N10" i="7" s="1"/>
  <c r="N11" i="13"/>
  <c r="E15" i="3"/>
  <c r="N15" i="3" s="1"/>
  <c r="H16" i="13"/>
  <c r="E9" i="5"/>
  <c r="N9" i="5" s="1"/>
  <c r="J10" i="13"/>
  <c r="E11" i="7"/>
  <c r="D45" i="7" s="1"/>
  <c r="N12" i="13"/>
  <c r="E13" i="6"/>
  <c r="N13" i="6" s="1"/>
  <c r="L14" i="13"/>
  <c r="E7" i="7"/>
  <c r="N7" i="7" s="1"/>
  <c r="N8" i="13"/>
  <c r="E14" i="6"/>
  <c r="N14" i="6" s="1"/>
  <c r="L15" i="13"/>
  <c r="E11" i="5"/>
  <c r="D45" i="5" s="1"/>
  <c r="J12" i="13"/>
  <c r="E9" i="6"/>
  <c r="N9" i="6" s="1"/>
  <c r="L10" i="13"/>
  <c r="E8" i="5"/>
  <c r="D44" i="5" s="1"/>
  <c r="J9" i="13"/>
  <c r="E8" i="6"/>
  <c r="N8" i="6" s="1"/>
  <c r="L9" i="13"/>
  <c r="E11" i="4"/>
  <c r="D45" i="4" s="1"/>
  <c r="F12" i="13"/>
  <c r="E12" i="4"/>
  <c r="D46" i="4" s="1"/>
  <c r="F13" i="13"/>
  <c r="E13" i="4"/>
  <c r="N13" i="4" s="1"/>
  <c r="F14" i="13"/>
  <c r="E14" i="5"/>
  <c r="N14" i="5" s="1"/>
  <c r="J15" i="13"/>
  <c r="E15" i="5"/>
  <c r="N15" i="5" s="1"/>
  <c r="J16" i="13"/>
  <c r="E9" i="7"/>
  <c r="N9" i="7" s="1"/>
  <c r="N10" i="13"/>
  <c r="E15" i="6"/>
  <c r="N15" i="6" s="1"/>
  <c r="L16" i="13"/>
  <c r="B6" i="1"/>
  <c r="J3" i="10"/>
  <c r="E6" i="7"/>
  <c r="E13" i="2"/>
  <c r="N13" i="2" s="1"/>
  <c r="J13" i="1"/>
  <c r="J14" i="16" s="1"/>
  <c r="C9" i="2"/>
  <c r="P9" i="2" s="1"/>
  <c r="C9" i="8"/>
  <c r="P9" i="8" s="1"/>
  <c r="C9" i="5"/>
  <c r="P9" i="5" s="1"/>
  <c r="C9" i="7"/>
  <c r="P9" i="7" s="1"/>
  <c r="C9" i="3"/>
  <c r="P9" i="3" s="1"/>
  <c r="C9" i="6"/>
  <c r="P9" i="6" s="1"/>
  <c r="C9" i="4"/>
  <c r="P9" i="4" s="1"/>
  <c r="C8" i="8"/>
  <c r="C8" i="3"/>
  <c r="C8" i="7"/>
  <c r="C8" i="6"/>
  <c r="C8" i="2"/>
  <c r="C8" i="4"/>
  <c r="C8" i="5"/>
  <c r="C12" i="13"/>
  <c r="C12" i="8"/>
  <c r="C12" i="2"/>
  <c r="C12" i="3"/>
  <c r="C12" i="4"/>
  <c r="C12" i="6"/>
  <c r="C12" i="7"/>
  <c r="C12" i="5"/>
  <c r="E14" i="2"/>
  <c r="N14" i="2" s="1"/>
  <c r="E6" i="6"/>
  <c r="I3" i="10"/>
  <c r="E8" i="2"/>
  <c r="C14" i="2"/>
  <c r="P14" i="2" s="1"/>
  <c r="C14" i="5"/>
  <c r="P14" i="5" s="1"/>
  <c r="C14" i="7"/>
  <c r="P14" i="7" s="1"/>
  <c r="C14" i="6"/>
  <c r="P14" i="6" s="1"/>
  <c r="C14" i="3"/>
  <c r="P14" i="3" s="1"/>
  <c r="C14" i="4"/>
  <c r="P14" i="4" s="1"/>
  <c r="C14" i="8"/>
  <c r="P14" i="8" s="1"/>
  <c r="D12" i="13"/>
  <c r="H3" i="10"/>
  <c r="E6" i="5"/>
  <c r="C7" i="3"/>
  <c r="C7" i="5"/>
  <c r="C7" i="2"/>
  <c r="C7" i="4"/>
  <c r="C7" i="7"/>
  <c r="C7" i="8"/>
  <c r="C7" i="6"/>
  <c r="C10" i="3"/>
  <c r="P10" i="3" s="1"/>
  <c r="C10" i="4"/>
  <c r="P10" i="4" s="1"/>
  <c r="C10" i="8"/>
  <c r="P10" i="8" s="1"/>
  <c r="C10" i="5"/>
  <c r="P10" i="5" s="1"/>
  <c r="C10" i="2"/>
  <c r="P10" i="2" s="1"/>
  <c r="C10" i="7"/>
  <c r="P10" i="7" s="1"/>
  <c r="C10" i="6"/>
  <c r="P10" i="6" s="1"/>
  <c r="G3" i="10"/>
  <c r="E6" i="3"/>
  <c r="C13" i="2"/>
  <c r="P13" i="2" s="1"/>
  <c r="C13" i="6"/>
  <c r="P13" i="6" s="1"/>
  <c r="C13" i="3"/>
  <c r="P13" i="3" s="1"/>
  <c r="C13" i="5"/>
  <c r="P13" i="5" s="1"/>
  <c r="C13" i="4"/>
  <c r="P13" i="4" s="1"/>
  <c r="C13" i="7"/>
  <c r="P13" i="7" s="1"/>
  <c r="C13" i="8"/>
  <c r="P13" i="8" s="1"/>
  <c r="E10" i="2"/>
  <c r="J12" i="1"/>
  <c r="J13" i="16" s="1"/>
  <c r="E12" i="2"/>
  <c r="J6" i="1"/>
  <c r="E6" i="2"/>
  <c r="D42" i="2" s="1"/>
  <c r="D48" i="2" s="1"/>
  <c r="D54" i="2" s="1"/>
  <c r="D60" i="2" s="1"/>
  <c r="D66" i="2" s="1"/>
  <c r="E3" i="10"/>
  <c r="F3" i="10"/>
  <c r="E6" i="4"/>
  <c r="J9" i="1"/>
  <c r="J10" i="16" s="1"/>
  <c r="E9" i="2"/>
  <c r="C6" i="6"/>
  <c r="C6" i="7"/>
  <c r="D3" i="10"/>
  <c r="C6" i="3"/>
  <c r="C6" i="4"/>
  <c r="C6" i="5"/>
  <c r="C6" i="2"/>
  <c r="C6" i="8"/>
  <c r="C42" i="8" s="1"/>
  <c r="E7" i="2"/>
  <c r="D16" i="13"/>
  <c r="C15" i="2"/>
  <c r="P15" i="2" s="1"/>
  <c r="C15" i="3"/>
  <c r="P15" i="3" s="1"/>
  <c r="C15" i="4"/>
  <c r="P15" i="4" s="1"/>
  <c r="C15" i="6"/>
  <c r="P15" i="6" s="1"/>
  <c r="C15" i="5"/>
  <c r="P15" i="5" s="1"/>
  <c r="C15" i="7"/>
  <c r="P15" i="7" s="1"/>
  <c r="C15" i="8"/>
  <c r="P15" i="8" s="1"/>
  <c r="D43" i="6" l="1"/>
  <c r="D46" i="7"/>
  <c r="N12" i="5"/>
  <c r="O25" i="5" s="1"/>
  <c r="D44" i="6"/>
  <c r="N11" i="6"/>
  <c r="N7" i="3"/>
  <c r="N11" i="5"/>
  <c r="N8" i="5"/>
  <c r="N12" i="6"/>
  <c r="O25" i="6" s="1"/>
  <c r="N11" i="3"/>
  <c r="D43" i="7"/>
  <c r="J7" i="16"/>
  <c r="P7" i="13"/>
  <c r="I9" i="17"/>
  <c r="G9" i="17"/>
  <c r="F9" i="17"/>
  <c r="E9" i="17"/>
  <c r="D9" i="17"/>
  <c r="C9" i="17"/>
  <c r="B9" i="17"/>
  <c r="A9" i="17"/>
  <c r="K9" i="17" s="1"/>
  <c r="A14" i="17"/>
  <c r="K14" i="17" s="1"/>
  <c r="I14" i="17"/>
  <c r="G14" i="17"/>
  <c r="F14" i="17"/>
  <c r="E14" i="17"/>
  <c r="D14" i="17"/>
  <c r="C14" i="17"/>
  <c r="B14" i="17"/>
  <c r="N8" i="3"/>
  <c r="N11" i="4"/>
  <c r="H16" i="1"/>
  <c r="M17" i="13" s="1"/>
  <c r="B16" i="1"/>
  <c r="N11" i="7"/>
  <c r="D46" i="3"/>
  <c r="N7" i="4"/>
  <c r="N12" i="4"/>
  <c r="O25" i="4" s="1"/>
  <c r="F16" i="1"/>
  <c r="C16" i="1"/>
  <c r="J16" i="1"/>
  <c r="G16" i="1"/>
  <c r="K17" i="13" s="1"/>
  <c r="E8" i="7"/>
  <c r="D44" i="7" s="1"/>
  <c r="N9" i="13"/>
  <c r="E7" i="5"/>
  <c r="N7" i="5" s="1"/>
  <c r="J8" i="13"/>
  <c r="E9" i="8"/>
  <c r="N9" i="8" s="1"/>
  <c r="P10" i="13"/>
  <c r="E12" i="8"/>
  <c r="N12" i="8" s="1"/>
  <c r="P13" i="13"/>
  <c r="E10" i="3"/>
  <c r="N10" i="3" s="1"/>
  <c r="H11" i="13"/>
  <c r="E13" i="8"/>
  <c r="N13" i="8" s="1"/>
  <c r="P14" i="13"/>
  <c r="E14" i="3"/>
  <c r="N14" i="3" s="1"/>
  <c r="H15" i="13"/>
  <c r="E8" i="4"/>
  <c r="N8" i="4" s="1"/>
  <c r="F9" i="13"/>
  <c r="L6" i="2"/>
  <c r="J14" i="1"/>
  <c r="J15" i="16" s="1"/>
  <c r="G6" i="10"/>
  <c r="G12" i="10"/>
  <c r="G8" i="10"/>
  <c r="G7" i="10"/>
  <c r="G4" i="10"/>
  <c r="G5" i="10"/>
  <c r="G10" i="10"/>
  <c r="G9" i="10"/>
  <c r="G11" i="10"/>
  <c r="P7" i="7"/>
  <c r="C43" i="7"/>
  <c r="O25" i="7"/>
  <c r="P8" i="6"/>
  <c r="C44" i="6"/>
  <c r="E44" i="6" s="1"/>
  <c r="D42" i="7"/>
  <c r="D48" i="7" s="1"/>
  <c r="D54" i="7" s="1"/>
  <c r="D60" i="7" s="1"/>
  <c r="D66" i="7" s="1"/>
  <c r="F7" i="7" s="1"/>
  <c r="O7" i="7"/>
  <c r="O25" i="3"/>
  <c r="F10" i="10"/>
  <c r="F11" i="10"/>
  <c r="F8" i="10"/>
  <c r="F6" i="10"/>
  <c r="F5" i="10"/>
  <c r="F4" i="10"/>
  <c r="F12" i="10"/>
  <c r="F9" i="10"/>
  <c r="F7" i="10"/>
  <c r="J11" i="1"/>
  <c r="J12" i="16" s="1"/>
  <c r="E11" i="2"/>
  <c r="D44" i="2"/>
  <c r="N8" i="2"/>
  <c r="I4" i="10"/>
  <c r="I10" i="10"/>
  <c r="I7" i="10"/>
  <c r="I12" i="10"/>
  <c r="I9" i="10"/>
  <c r="I11" i="10"/>
  <c r="I6" i="10"/>
  <c r="I5" i="10"/>
  <c r="I8" i="10"/>
  <c r="P12" i="6"/>
  <c r="C46" i="6"/>
  <c r="E46" i="6" s="1"/>
  <c r="C46" i="8"/>
  <c r="P12" i="8"/>
  <c r="C44" i="5"/>
  <c r="E44" i="5" s="1"/>
  <c r="P8" i="5"/>
  <c r="P8" i="7"/>
  <c r="C44" i="7"/>
  <c r="J4" i="10"/>
  <c r="J10" i="10"/>
  <c r="J8" i="10"/>
  <c r="J9" i="10"/>
  <c r="J6" i="10"/>
  <c r="J11" i="10"/>
  <c r="J12" i="10"/>
  <c r="J5" i="10"/>
  <c r="J7" i="10"/>
  <c r="O7" i="2"/>
  <c r="D43" i="2"/>
  <c r="N7" i="2"/>
  <c r="F7" i="2"/>
  <c r="C42" i="5"/>
  <c r="Q7" i="5"/>
  <c r="Q7" i="3"/>
  <c r="C42" i="3"/>
  <c r="O7" i="4"/>
  <c r="D42" i="4"/>
  <c r="D48" i="4" s="1"/>
  <c r="D54" i="4" s="1"/>
  <c r="D60" i="4" s="1"/>
  <c r="D66" i="4" s="1"/>
  <c r="F7" i="4" s="1"/>
  <c r="H4" i="10"/>
  <c r="H6" i="10"/>
  <c r="H10" i="10"/>
  <c r="H7" i="10"/>
  <c r="H12" i="10"/>
  <c r="H5" i="10"/>
  <c r="H9" i="10"/>
  <c r="H11" i="10"/>
  <c r="H8" i="10"/>
  <c r="P12" i="7"/>
  <c r="C46" i="7"/>
  <c r="E46" i="7" s="1"/>
  <c r="J15" i="1"/>
  <c r="J16" i="16" s="1"/>
  <c r="E15" i="2"/>
  <c r="N15" i="2" s="1"/>
  <c r="J7" i="1"/>
  <c r="J8" i="16" s="1"/>
  <c r="C42" i="4"/>
  <c r="Q7" i="4"/>
  <c r="D7" i="10"/>
  <c r="D5" i="10"/>
  <c r="D4" i="10"/>
  <c r="D9" i="10"/>
  <c r="D8" i="10"/>
  <c r="D11" i="10"/>
  <c r="D6" i="10"/>
  <c r="D12" i="10"/>
  <c r="D10" i="10"/>
  <c r="E6" i="8"/>
  <c r="D42" i="8" s="1"/>
  <c r="D48" i="8" s="1"/>
  <c r="D54" i="8" s="1"/>
  <c r="D60" i="8" s="1"/>
  <c r="D66" i="8" s="1"/>
  <c r="K3" i="10"/>
  <c r="L6" i="8"/>
  <c r="N10" i="2"/>
  <c r="C43" i="4"/>
  <c r="E43" i="4" s="1"/>
  <c r="P7" i="4"/>
  <c r="C48" i="8"/>
  <c r="E16" i="1"/>
  <c r="C3" i="10"/>
  <c r="C42" i="7"/>
  <c r="Q7" i="7"/>
  <c r="N9" i="2"/>
  <c r="L6" i="4"/>
  <c r="E5" i="10"/>
  <c r="E11" i="10"/>
  <c r="E6" i="10"/>
  <c r="E8" i="10"/>
  <c r="E9" i="10"/>
  <c r="E7" i="10"/>
  <c r="E10" i="10"/>
  <c r="E12" i="10"/>
  <c r="E4" i="10"/>
  <c r="J10" i="1"/>
  <c r="J11" i="16" s="1"/>
  <c r="L6" i="3"/>
  <c r="C43" i="6"/>
  <c r="P7" i="6"/>
  <c r="C43" i="2"/>
  <c r="P7" i="2"/>
  <c r="D42" i="5"/>
  <c r="D48" i="5" s="1"/>
  <c r="D54" i="5" s="1"/>
  <c r="D60" i="5" s="1"/>
  <c r="D66" i="5" s="1"/>
  <c r="J8" i="1"/>
  <c r="J9" i="16" s="1"/>
  <c r="O7" i="6"/>
  <c r="D42" i="6"/>
  <c r="D48" i="6" s="1"/>
  <c r="D54" i="6" s="1"/>
  <c r="D60" i="6" s="1"/>
  <c r="D66" i="6" s="1"/>
  <c r="F7" i="6" s="1"/>
  <c r="P12" i="4"/>
  <c r="C46" i="4"/>
  <c r="E46" i="4" s="1"/>
  <c r="P8" i="4"/>
  <c r="C44" i="4"/>
  <c r="C44" i="3"/>
  <c r="E44" i="3" s="1"/>
  <c r="P8" i="3"/>
  <c r="I16" i="1"/>
  <c r="O17" i="13" s="1"/>
  <c r="C46" i="2"/>
  <c r="P12" i="2"/>
  <c r="P7" i="3"/>
  <c r="C43" i="3"/>
  <c r="E43" i="3" s="1"/>
  <c r="C42" i="2"/>
  <c r="Q7" i="2"/>
  <c r="C42" i="6"/>
  <c r="Q7" i="6"/>
  <c r="D16" i="1"/>
  <c r="N12" i="2"/>
  <c r="D46" i="2"/>
  <c r="O7" i="3"/>
  <c r="D42" i="3"/>
  <c r="D48" i="3" s="1"/>
  <c r="D54" i="3" s="1"/>
  <c r="D60" i="3" s="1"/>
  <c r="D66" i="3" s="1"/>
  <c r="F7" i="3" s="1"/>
  <c r="Q7" i="8"/>
  <c r="C43" i="8"/>
  <c r="P7" i="8"/>
  <c r="C43" i="5"/>
  <c r="P7" i="5"/>
  <c r="L6" i="5"/>
  <c r="L6" i="6"/>
  <c r="P12" i="5"/>
  <c r="C46" i="5"/>
  <c r="E46" i="5" s="1"/>
  <c r="P12" i="3"/>
  <c r="C46" i="3"/>
  <c r="C11" i="8"/>
  <c r="C11" i="2"/>
  <c r="C11" i="5"/>
  <c r="C11" i="4"/>
  <c r="C11" i="6"/>
  <c r="C11" i="3"/>
  <c r="C11" i="7"/>
  <c r="C44" i="2"/>
  <c r="P8" i="2"/>
  <c r="P8" i="8"/>
  <c r="C44" i="8"/>
  <c r="L6" i="7"/>
  <c r="E43" i="6" l="1"/>
  <c r="E46" i="3"/>
  <c r="E43" i="7"/>
  <c r="L49" i="7" s="1"/>
  <c r="D46" i="8"/>
  <c r="H9" i="17"/>
  <c r="N8" i="7"/>
  <c r="D44" i="4"/>
  <c r="D43" i="5"/>
  <c r="E43" i="5" s="1"/>
  <c r="O7" i="5"/>
  <c r="R7" i="5" s="1"/>
  <c r="S7" i="5" s="1"/>
  <c r="G16" i="9"/>
  <c r="H28" i="10" s="1"/>
  <c r="H14" i="17"/>
  <c r="E17" i="13"/>
  <c r="E17" i="16"/>
  <c r="G17" i="13"/>
  <c r="G17" i="16"/>
  <c r="A11" i="17"/>
  <c r="K11" i="17" s="1"/>
  <c r="I11" i="17"/>
  <c r="G11" i="17"/>
  <c r="F11" i="17"/>
  <c r="E11" i="17"/>
  <c r="D11" i="17"/>
  <c r="C11" i="17"/>
  <c r="B11" i="17"/>
  <c r="A8" i="17"/>
  <c r="K8" i="17" s="1"/>
  <c r="I8" i="17"/>
  <c r="G8" i="17"/>
  <c r="F8" i="17"/>
  <c r="E8" i="17"/>
  <c r="D8" i="17"/>
  <c r="C8" i="17"/>
  <c r="B8" i="17"/>
  <c r="I10" i="17"/>
  <c r="G10" i="17"/>
  <c r="F10" i="17"/>
  <c r="E10" i="17"/>
  <c r="D10" i="17"/>
  <c r="C10" i="17"/>
  <c r="B10" i="17"/>
  <c r="A10" i="17"/>
  <c r="K10" i="17" s="1"/>
  <c r="A12" i="17"/>
  <c r="K12" i="17" s="1"/>
  <c r="I12" i="17"/>
  <c r="G12" i="17"/>
  <c r="F12" i="17"/>
  <c r="E12" i="17"/>
  <c r="D12" i="17"/>
  <c r="C12" i="17"/>
  <c r="B12" i="17"/>
  <c r="I7" i="17"/>
  <c r="G7" i="17"/>
  <c r="F7" i="17"/>
  <c r="E7" i="17"/>
  <c r="D7" i="17"/>
  <c r="C7" i="17"/>
  <c r="B7" i="17"/>
  <c r="A7" i="17"/>
  <c r="K7" i="17" s="1"/>
  <c r="I13" i="17"/>
  <c r="G13" i="17"/>
  <c r="F13" i="17"/>
  <c r="E13" i="17"/>
  <c r="D13" i="17"/>
  <c r="C13" i="17"/>
  <c r="B13" i="17"/>
  <c r="A13" i="17"/>
  <c r="K13" i="17" s="1"/>
  <c r="Q17" i="13"/>
  <c r="K17" i="16"/>
  <c r="C17" i="13"/>
  <c r="C17" i="16"/>
  <c r="I17" i="13"/>
  <c r="I17" i="16"/>
  <c r="L8" i="17"/>
  <c r="L7" i="17"/>
  <c r="L11" i="17"/>
  <c r="L12" i="17"/>
  <c r="L9" i="17"/>
  <c r="L13" i="17"/>
  <c r="L10" i="17"/>
  <c r="L14" i="17"/>
  <c r="F16" i="9"/>
  <c r="G28" i="10" s="1"/>
  <c r="E16" i="9"/>
  <c r="F28" i="10" s="1"/>
  <c r="D19" i="10"/>
  <c r="T7" i="6"/>
  <c r="F7" i="5"/>
  <c r="D25" i="10"/>
  <c r="E7" i="8"/>
  <c r="F7" i="8" s="1"/>
  <c r="P8" i="13"/>
  <c r="E24" i="10"/>
  <c r="D27" i="10"/>
  <c r="G27" i="10"/>
  <c r="R7" i="4"/>
  <c r="S7" i="4" s="1"/>
  <c r="E11" i="8"/>
  <c r="D45" i="8" s="1"/>
  <c r="P12" i="13"/>
  <c r="R7" i="7"/>
  <c r="S7" i="7" s="1"/>
  <c r="E14" i="8"/>
  <c r="N14" i="8" s="1"/>
  <c r="P15" i="13"/>
  <c r="D16" i="9"/>
  <c r="E28" i="10" s="1"/>
  <c r="E15" i="8"/>
  <c r="N15" i="8" s="1"/>
  <c r="P16" i="13"/>
  <c r="H16" i="9"/>
  <c r="I28" i="10" s="1"/>
  <c r="C16" i="9"/>
  <c r="D28" i="10" s="1"/>
  <c r="E8" i="8"/>
  <c r="N8" i="8" s="1"/>
  <c r="P9" i="13"/>
  <c r="E10" i="8"/>
  <c r="N10" i="8" s="1"/>
  <c r="P11" i="13"/>
  <c r="F26" i="10"/>
  <c r="R7" i="2"/>
  <c r="S7" i="2" s="1"/>
  <c r="R7" i="3"/>
  <c r="S7" i="3" s="1"/>
  <c r="K7" i="4"/>
  <c r="E43" i="2"/>
  <c r="C49" i="2" s="1"/>
  <c r="T7" i="7"/>
  <c r="E42" i="8"/>
  <c r="G26" i="10"/>
  <c r="E44" i="4"/>
  <c r="D50" i="4" s="1"/>
  <c r="E46" i="8"/>
  <c r="E26" i="10"/>
  <c r="D24" i="10"/>
  <c r="L50" i="3"/>
  <c r="C50" i="3"/>
  <c r="B50" i="3"/>
  <c r="D50" i="3"/>
  <c r="P11" i="7"/>
  <c r="C45" i="7"/>
  <c r="E45" i="7" s="1"/>
  <c r="L52" i="3"/>
  <c r="B52" i="3"/>
  <c r="D52" i="3"/>
  <c r="L52" i="7"/>
  <c r="B52" i="7"/>
  <c r="D52" i="7"/>
  <c r="C45" i="6"/>
  <c r="E45" i="6" s="1"/>
  <c r="P11" i="6"/>
  <c r="P11" i="8"/>
  <c r="C45" i="8"/>
  <c r="L52" i="5"/>
  <c r="B52" i="5"/>
  <c r="D52" i="5"/>
  <c r="C48" i="6"/>
  <c r="E42" i="6"/>
  <c r="R7" i="6"/>
  <c r="S7" i="6" s="1"/>
  <c r="D21" i="10"/>
  <c r="C4" i="10"/>
  <c r="C7" i="10"/>
  <c r="C5" i="10"/>
  <c r="C10" i="10"/>
  <c r="C11" i="10"/>
  <c r="C6" i="10"/>
  <c r="C9" i="10"/>
  <c r="C12" i="10"/>
  <c r="C8" i="10"/>
  <c r="C50" i="6"/>
  <c r="L50" i="6"/>
  <c r="D50" i="6"/>
  <c r="B50" i="6"/>
  <c r="C25" i="10"/>
  <c r="H25" i="10"/>
  <c r="I25" i="10"/>
  <c r="C23" i="10"/>
  <c r="F23" i="10"/>
  <c r="E23" i="10"/>
  <c r="I23" i="10"/>
  <c r="C22" i="10"/>
  <c r="H22" i="10"/>
  <c r="G22" i="10"/>
  <c r="O25" i="8"/>
  <c r="C48" i="5"/>
  <c r="E42" i="5"/>
  <c r="I22" i="10"/>
  <c r="D45" i="2"/>
  <c r="N11" i="2"/>
  <c r="E21" i="10"/>
  <c r="F19" i="10"/>
  <c r="G9" i="7"/>
  <c r="G11" i="7"/>
  <c r="G15" i="7"/>
  <c r="G12" i="7"/>
  <c r="G8" i="7"/>
  <c r="G10" i="7"/>
  <c r="G13" i="7"/>
  <c r="G7" i="7"/>
  <c r="G14" i="7"/>
  <c r="E44" i="2"/>
  <c r="P11" i="4"/>
  <c r="C45" i="4"/>
  <c r="E45" i="4" s="1"/>
  <c r="K7" i="6"/>
  <c r="K7" i="3"/>
  <c r="T7" i="4"/>
  <c r="D22" i="10"/>
  <c r="I27" i="10"/>
  <c r="F27" i="10"/>
  <c r="C27" i="10"/>
  <c r="H27" i="10"/>
  <c r="E27" i="10"/>
  <c r="H24" i="10"/>
  <c r="I24" i="10"/>
  <c r="C24" i="10"/>
  <c r="G24" i="10"/>
  <c r="G25" i="10"/>
  <c r="K7" i="7"/>
  <c r="E42" i="3"/>
  <c r="C48" i="3"/>
  <c r="I20" i="10"/>
  <c r="B52" i="6"/>
  <c r="D52" i="6"/>
  <c r="L52" i="6"/>
  <c r="F24" i="10"/>
  <c r="F22" i="10"/>
  <c r="C45" i="5"/>
  <c r="E45" i="5" s="1"/>
  <c r="P11" i="5"/>
  <c r="C48" i="2"/>
  <c r="E42" i="2"/>
  <c r="C49" i="4"/>
  <c r="L49" i="4"/>
  <c r="B49" i="4"/>
  <c r="D49" i="4"/>
  <c r="K11" i="10"/>
  <c r="J26" i="10" s="1"/>
  <c r="K12" i="10"/>
  <c r="J27" i="10" s="1"/>
  <c r="K8" i="10"/>
  <c r="J23" i="10" s="1"/>
  <c r="K4" i="10"/>
  <c r="J19" i="10" s="1"/>
  <c r="K6" i="10"/>
  <c r="J21" i="10" s="1"/>
  <c r="K9" i="10"/>
  <c r="J24" i="10" s="1"/>
  <c r="K7" i="10"/>
  <c r="J22" i="10" s="1"/>
  <c r="K10" i="10"/>
  <c r="J25" i="10" s="1"/>
  <c r="K5" i="10"/>
  <c r="J20" i="10" s="1"/>
  <c r="C21" i="10"/>
  <c r="H21" i="10"/>
  <c r="I21" i="10"/>
  <c r="F21" i="10"/>
  <c r="C19" i="10"/>
  <c r="H19" i="10"/>
  <c r="I19" i="10"/>
  <c r="E42" i="4"/>
  <c r="C48" i="4"/>
  <c r="G21" i="10"/>
  <c r="T7" i="3"/>
  <c r="K7" i="2"/>
  <c r="T7" i="2"/>
  <c r="B50" i="5"/>
  <c r="D50" i="5"/>
  <c r="L50" i="5"/>
  <c r="C50" i="5"/>
  <c r="C49" i="7"/>
  <c r="E19" i="10"/>
  <c r="F25" i="10"/>
  <c r="C45" i="3"/>
  <c r="E45" i="3" s="1"/>
  <c r="P11" i="3"/>
  <c r="C45" i="2"/>
  <c r="P11" i="2"/>
  <c r="G8" i="5"/>
  <c r="G14" i="5"/>
  <c r="G11" i="5"/>
  <c r="G7" i="5"/>
  <c r="G12" i="5"/>
  <c r="G10" i="5"/>
  <c r="G13" i="5"/>
  <c r="G9" i="5"/>
  <c r="G15" i="5"/>
  <c r="O25" i="2"/>
  <c r="C49" i="3"/>
  <c r="D49" i="3"/>
  <c r="L49" i="3"/>
  <c r="B49" i="3"/>
  <c r="E46" i="2"/>
  <c r="D52" i="4"/>
  <c r="L52" i="4"/>
  <c r="B52" i="4"/>
  <c r="L49" i="6"/>
  <c r="C49" i="6"/>
  <c r="D49" i="6"/>
  <c r="B49" i="6"/>
  <c r="D23" i="10"/>
  <c r="C48" i="7"/>
  <c r="E42" i="7"/>
  <c r="C54" i="8"/>
  <c r="E48" i="8"/>
  <c r="H26" i="10"/>
  <c r="D26" i="10"/>
  <c r="I26" i="10"/>
  <c r="C26" i="10"/>
  <c r="E20" i="10"/>
  <c r="C20" i="10"/>
  <c r="G20" i="10"/>
  <c r="H20" i="10"/>
  <c r="D20" i="10"/>
  <c r="G23" i="10"/>
  <c r="G19" i="10"/>
  <c r="E44" i="7"/>
  <c r="H23" i="10"/>
  <c r="E22" i="10"/>
  <c r="E25" i="10"/>
  <c r="F20" i="10"/>
  <c r="D49" i="7" l="1"/>
  <c r="B49" i="7"/>
  <c r="E45" i="2"/>
  <c r="C51" i="2" s="1"/>
  <c r="D52" i="8"/>
  <c r="C52" i="6"/>
  <c r="E52" i="6" s="1"/>
  <c r="C52" i="7"/>
  <c r="E52" i="7" s="1"/>
  <c r="T7" i="5"/>
  <c r="K7" i="5"/>
  <c r="B52" i="8"/>
  <c r="D49" i="5"/>
  <c r="L49" i="5"/>
  <c r="N7" i="8"/>
  <c r="O7" i="8"/>
  <c r="D43" i="8"/>
  <c r="E43" i="8" s="1"/>
  <c r="L49" i="8" s="1"/>
  <c r="D44" i="8"/>
  <c r="E44" i="8" s="1"/>
  <c r="B50" i="8" s="1"/>
  <c r="N11" i="8"/>
  <c r="B49" i="2"/>
  <c r="H10" i="17"/>
  <c r="C52" i="4"/>
  <c r="E52" i="4" s="1"/>
  <c r="C50" i="4"/>
  <c r="E50" i="4" s="1"/>
  <c r="C56" i="4" s="1"/>
  <c r="U7" i="6"/>
  <c r="J7" i="6" s="1"/>
  <c r="L7" i="6" s="1"/>
  <c r="R8" i="16" s="1"/>
  <c r="H13" i="17"/>
  <c r="H7" i="17"/>
  <c r="H8" i="17"/>
  <c r="H11" i="17"/>
  <c r="L50" i="4"/>
  <c r="H12" i="17"/>
  <c r="L49" i="2"/>
  <c r="D49" i="2"/>
  <c r="E49" i="2" s="1"/>
  <c r="U7" i="5"/>
  <c r="J7" i="5" s="1"/>
  <c r="M7" i="5" s="1"/>
  <c r="U7" i="7"/>
  <c r="J7" i="7" s="1"/>
  <c r="M7" i="7" s="1"/>
  <c r="B50" i="4"/>
  <c r="U7" i="4"/>
  <c r="J7" i="4" s="1"/>
  <c r="M7" i="4" s="1"/>
  <c r="U7" i="3"/>
  <c r="J7" i="3" s="1"/>
  <c r="M7" i="3" s="1"/>
  <c r="C52" i="3"/>
  <c r="E52" i="3" s="1"/>
  <c r="C52" i="5"/>
  <c r="E52" i="5" s="1"/>
  <c r="B49" i="5"/>
  <c r="C49" i="5"/>
  <c r="E49" i="4"/>
  <c r="C55" i="4" s="1"/>
  <c r="F9" i="9"/>
  <c r="K10" i="13"/>
  <c r="F10" i="9"/>
  <c r="K11" i="13"/>
  <c r="F14" i="9"/>
  <c r="K15" i="13"/>
  <c r="U7" i="2"/>
  <c r="J7" i="2" s="1"/>
  <c r="M7" i="2" s="1"/>
  <c r="H14" i="9"/>
  <c r="O15" i="13"/>
  <c r="H8" i="9"/>
  <c r="O9" i="13"/>
  <c r="H9" i="9"/>
  <c r="O10" i="13"/>
  <c r="C52" i="8"/>
  <c r="F15" i="9"/>
  <c r="K16" i="13"/>
  <c r="F12" i="9"/>
  <c r="K13" i="13"/>
  <c r="F8" i="9"/>
  <c r="K9" i="13"/>
  <c r="H7" i="9"/>
  <c r="O8" i="13"/>
  <c r="H12" i="9"/>
  <c r="O13" i="13"/>
  <c r="L52" i="8"/>
  <c r="H15" i="9"/>
  <c r="O16" i="13"/>
  <c r="F7" i="9"/>
  <c r="K8" i="13"/>
  <c r="H13" i="9"/>
  <c r="O14" i="13"/>
  <c r="E49" i="3"/>
  <c r="D55" i="3" s="1"/>
  <c r="F13" i="9"/>
  <c r="K14" i="13"/>
  <c r="F11" i="9"/>
  <c r="K12" i="13"/>
  <c r="H10" i="9"/>
  <c r="O11" i="13"/>
  <c r="H11" i="9"/>
  <c r="O12" i="13"/>
  <c r="E50" i="5"/>
  <c r="L56" i="5" s="1"/>
  <c r="E45" i="8"/>
  <c r="E50" i="3"/>
  <c r="C56" i="3" s="1"/>
  <c r="B52" i="2"/>
  <c r="D52" i="2"/>
  <c r="C52" i="2"/>
  <c r="L52" i="2"/>
  <c r="L51" i="2"/>
  <c r="D51" i="2"/>
  <c r="E48" i="4"/>
  <c r="C54" i="4"/>
  <c r="C54" i="2"/>
  <c r="E48" i="2"/>
  <c r="C54" i="3"/>
  <c r="E48" i="3"/>
  <c r="L51" i="4"/>
  <c r="D51" i="4"/>
  <c r="C51" i="4"/>
  <c r="B51" i="4"/>
  <c r="C51" i="7"/>
  <c r="B51" i="7"/>
  <c r="L51" i="7"/>
  <c r="D51" i="7"/>
  <c r="L50" i="7"/>
  <c r="B50" i="7"/>
  <c r="D50" i="7"/>
  <c r="C50" i="7"/>
  <c r="C60" i="8"/>
  <c r="E54" i="8"/>
  <c r="L51" i="5"/>
  <c r="B51" i="5"/>
  <c r="C51" i="5"/>
  <c r="D51" i="5"/>
  <c r="B51" i="3"/>
  <c r="D51" i="3"/>
  <c r="C51" i="3"/>
  <c r="L51" i="3"/>
  <c r="L50" i="2"/>
  <c r="C50" i="2"/>
  <c r="D50" i="2"/>
  <c r="B50" i="2"/>
  <c r="E50" i="6"/>
  <c r="C54" i="7"/>
  <c r="E48" i="7"/>
  <c r="E49" i="6"/>
  <c r="E49" i="7"/>
  <c r="E48" i="5"/>
  <c r="C54" i="5"/>
  <c r="C54" i="6"/>
  <c r="E48" i="6"/>
  <c r="B51" i="6"/>
  <c r="D51" i="6"/>
  <c r="C51" i="6"/>
  <c r="L51" i="6"/>
  <c r="E49" i="5" l="1"/>
  <c r="R7" i="8"/>
  <c r="S7" i="8" s="1"/>
  <c r="C58" i="5"/>
  <c r="B51" i="2"/>
  <c r="D51" i="8"/>
  <c r="E52" i="8"/>
  <c r="T7" i="8"/>
  <c r="D49" i="8"/>
  <c r="L58" i="3"/>
  <c r="D50" i="8"/>
  <c r="L50" i="8"/>
  <c r="L7" i="5"/>
  <c r="Q8" i="16" s="1"/>
  <c r="K7" i="8"/>
  <c r="B49" i="8"/>
  <c r="C49" i="8"/>
  <c r="C50" i="8"/>
  <c r="M7" i="6"/>
  <c r="G7" i="6" s="1"/>
  <c r="G7" i="9" s="1"/>
  <c r="D55" i="4"/>
  <c r="E55" i="4" s="1"/>
  <c r="L7" i="7"/>
  <c r="Q7" i="9" s="1"/>
  <c r="C58" i="4"/>
  <c r="L7" i="3"/>
  <c r="P8" i="16" s="1"/>
  <c r="B51" i="8"/>
  <c r="C58" i="3"/>
  <c r="D58" i="3"/>
  <c r="B58" i="3"/>
  <c r="L7" i="4"/>
  <c r="O8" i="16" s="1"/>
  <c r="E50" i="2"/>
  <c r="D56" i="2" s="1"/>
  <c r="L55" i="3"/>
  <c r="C55" i="3"/>
  <c r="E55" i="3" s="1"/>
  <c r="L51" i="8"/>
  <c r="B58" i="4"/>
  <c r="B55" i="4"/>
  <c r="L55" i="5"/>
  <c r="B55" i="5"/>
  <c r="C55" i="5"/>
  <c r="D55" i="5"/>
  <c r="E51" i="3"/>
  <c r="B57" i="3" s="1"/>
  <c r="L56" i="3"/>
  <c r="E51" i="4"/>
  <c r="D57" i="4" s="1"/>
  <c r="B55" i="3"/>
  <c r="B56" i="5"/>
  <c r="D56" i="3"/>
  <c r="E56" i="3" s="1"/>
  <c r="L55" i="4"/>
  <c r="C56" i="5"/>
  <c r="L7" i="2"/>
  <c r="N8" i="16" s="1"/>
  <c r="D56" i="5"/>
  <c r="B56" i="3"/>
  <c r="C51" i="8"/>
  <c r="B56" i="4"/>
  <c r="P7" i="9"/>
  <c r="X8" i="13"/>
  <c r="L58" i="4"/>
  <c r="D58" i="4"/>
  <c r="D56" i="4"/>
  <c r="E56" i="4" s="1"/>
  <c r="L56" i="4"/>
  <c r="E51" i="6"/>
  <c r="L57" i="6" s="1"/>
  <c r="E51" i="7"/>
  <c r="C57" i="7" s="1"/>
  <c r="C58" i="7"/>
  <c r="L58" i="7"/>
  <c r="B58" i="7"/>
  <c r="D58" i="7"/>
  <c r="B58" i="5"/>
  <c r="D55" i="7"/>
  <c r="B55" i="7"/>
  <c r="L55" i="7"/>
  <c r="C55" i="7"/>
  <c r="L55" i="6"/>
  <c r="C55" i="6"/>
  <c r="B55" i="6"/>
  <c r="D55" i="6"/>
  <c r="L56" i="6"/>
  <c r="B56" i="6"/>
  <c r="D56" i="6"/>
  <c r="C56" i="6"/>
  <c r="L58" i="5"/>
  <c r="E50" i="7"/>
  <c r="C60" i="2"/>
  <c r="E54" i="2"/>
  <c r="C60" i="6"/>
  <c r="E54" i="6"/>
  <c r="C55" i="2"/>
  <c r="D55" i="2"/>
  <c r="B55" i="2"/>
  <c r="L55" i="2"/>
  <c r="D58" i="5"/>
  <c r="C60" i="4"/>
  <c r="E54" i="4"/>
  <c r="C60" i="5"/>
  <c r="E54" i="5"/>
  <c r="E54" i="7"/>
  <c r="C60" i="7"/>
  <c r="B58" i="6"/>
  <c r="D58" i="6"/>
  <c r="C58" i="6"/>
  <c r="L58" i="6"/>
  <c r="E51" i="5"/>
  <c r="E60" i="8"/>
  <c r="C66" i="8"/>
  <c r="C60" i="3"/>
  <c r="E54" i="3"/>
  <c r="E51" i="2"/>
  <c r="E52" i="2"/>
  <c r="L58" i="8" l="1"/>
  <c r="B58" i="8"/>
  <c r="D58" i="8"/>
  <c r="E58" i="5"/>
  <c r="C56" i="2"/>
  <c r="E56" i="2" s="1"/>
  <c r="U7" i="8"/>
  <c r="J7" i="8" s="1"/>
  <c r="M7" i="8" s="1"/>
  <c r="E50" i="8"/>
  <c r="C56" i="8" s="1"/>
  <c r="E58" i="4"/>
  <c r="D64" i="4" s="1"/>
  <c r="E51" i="8"/>
  <c r="L57" i="8" s="1"/>
  <c r="E49" i="8"/>
  <c r="C55" i="8" s="1"/>
  <c r="L62" i="3"/>
  <c r="W8" i="13"/>
  <c r="O7" i="9"/>
  <c r="V8" i="13"/>
  <c r="M8" i="13"/>
  <c r="B56" i="2"/>
  <c r="L56" i="2"/>
  <c r="N7" i="9"/>
  <c r="E58" i="3"/>
  <c r="U8" i="13"/>
  <c r="S8" i="16"/>
  <c r="Y8" i="13"/>
  <c r="D57" i="6"/>
  <c r="M7" i="9"/>
  <c r="T8" i="13"/>
  <c r="E56" i="5"/>
  <c r="C62" i="5" s="1"/>
  <c r="C57" i="4"/>
  <c r="E57" i="4" s="1"/>
  <c r="B57" i="4"/>
  <c r="C57" i="3"/>
  <c r="B57" i="7"/>
  <c r="L57" i="4"/>
  <c r="B57" i="6"/>
  <c r="C58" i="8"/>
  <c r="E58" i="8" s="1"/>
  <c r="C57" i="6"/>
  <c r="L57" i="3"/>
  <c r="E55" i="5"/>
  <c r="D61" i="5" s="1"/>
  <c r="B62" i="4"/>
  <c r="L62" i="4"/>
  <c r="C62" i="4"/>
  <c r="C62" i="3"/>
  <c r="D57" i="3"/>
  <c r="L7" i="9"/>
  <c r="B62" i="3"/>
  <c r="E58" i="6"/>
  <c r="D62" i="4"/>
  <c r="L57" i="7"/>
  <c r="D62" i="3"/>
  <c r="D57" i="7"/>
  <c r="E57" i="7" s="1"/>
  <c r="C57" i="2"/>
  <c r="D57" i="2"/>
  <c r="L57" i="2"/>
  <c r="B57" i="2"/>
  <c r="E60" i="5"/>
  <c r="C66" i="5"/>
  <c r="C66" i="4"/>
  <c r="E60" i="4"/>
  <c r="E66" i="8"/>
  <c r="D7" i="8"/>
  <c r="E60" i="7"/>
  <c r="C66" i="7"/>
  <c r="D61" i="4"/>
  <c r="B61" i="4"/>
  <c r="L61" i="4"/>
  <c r="C61" i="4"/>
  <c r="E55" i="2"/>
  <c r="D56" i="7"/>
  <c r="B56" i="7"/>
  <c r="C56" i="7"/>
  <c r="L56" i="7"/>
  <c r="D61" i="3"/>
  <c r="L61" i="3"/>
  <c r="C61" i="3"/>
  <c r="B61" i="3"/>
  <c r="L58" i="2"/>
  <c r="C58" i="2"/>
  <c r="B58" i="2"/>
  <c r="D58" i="2"/>
  <c r="C66" i="3"/>
  <c r="E60" i="3"/>
  <c r="D57" i="5"/>
  <c r="L57" i="5"/>
  <c r="B57" i="5"/>
  <c r="C57" i="5"/>
  <c r="C66" i="6"/>
  <c r="E60" i="6"/>
  <c r="C66" i="2"/>
  <c r="E60" i="2"/>
  <c r="E56" i="6"/>
  <c r="E55" i="6"/>
  <c r="E55" i="7"/>
  <c r="E58" i="7"/>
  <c r="L64" i="3" l="1"/>
  <c r="L56" i="8"/>
  <c r="B56" i="8"/>
  <c r="C57" i="8"/>
  <c r="D64" i="5"/>
  <c r="C64" i="5"/>
  <c r="B57" i="8"/>
  <c r="B64" i="8" s="1"/>
  <c r="B64" i="5"/>
  <c r="L64" i="5"/>
  <c r="B55" i="8"/>
  <c r="D56" i="8"/>
  <c r="E56" i="8" s="1"/>
  <c r="B64" i="4"/>
  <c r="G7" i="8"/>
  <c r="K8" i="16" s="1"/>
  <c r="L7" i="8"/>
  <c r="T8" i="16" s="1"/>
  <c r="E57" i="3"/>
  <c r="L63" i="3" s="1"/>
  <c r="D57" i="8"/>
  <c r="L64" i="4"/>
  <c r="C64" i="3"/>
  <c r="D55" i="8"/>
  <c r="E55" i="8" s="1"/>
  <c r="D61" i="8" s="1"/>
  <c r="L55" i="8"/>
  <c r="C64" i="4"/>
  <c r="E64" i="4" s="1"/>
  <c r="D64" i="6"/>
  <c r="B64" i="3"/>
  <c r="L62" i="5"/>
  <c r="D62" i="5"/>
  <c r="E62" i="5" s="1"/>
  <c r="E57" i="6"/>
  <c r="B63" i="6" s="1"/>
  <c r="B62" i="5"/>
  <c r="D64" i="8"/>
  <c r="L64" i="6"/>
  <c r="L64" i="8"/>
  <c r="E57" i="2"/>
  <c r="C63" i="2" s="1"/>
  <c r="L61" i="5"/>
  <c r="D64" i="3"/>
  <c r="C64" i="6"/>
  <c r="C64" i="8"/>
  <c r="E62" i="4"/>
  <c r="C68" i="4" s="1"/>
  <c r="B61" i="5"/>
  <c r="C61" i="5"/>
  <c r="E61" i="5" s="1"/>
  <c r="D67" i="5" s="1"/>
  <c r="E62" i="3"/>
  <c r="C68" i="3" s="1"/>
  <c r="B64" i="6"/>
  <c r="D63" i="7"/>
  <c r="B63" i="7"/>
  <c r="L63" i="7"/>
  <c r="E61" i="3"/>
  <c r="D67" i="3" s="1"/>
  <c r="C63" i="7"/>
  <c r="B62" i="2"/>
  <c r="C62" i="2"/>
  <c r="D62" i="2"/>
  <c r="L63" i="4"/>
  <c r="C63" i="4"/>
  <c r="B63" i="4"/>
  <c r="D63" i="4"/>
  <c r="C61" i="7"/>
  <c r="L61" i="7"/>
  <c r="B61" i="7"/>
  <c r="D61" i="7"/>
  <c r="D7" i="2"/>
  <c r="G7" i="2" s="1"/>
  <c r="E8" i="16" s="1"/>
  <c r="E66" i="2"/>
  <c r="L62" i="2"/>
  <c r="E66" i="7"/>
  <c r="D7" i="7"/>
  <c r="C61" i="6"/>
  <c r="D61" i="6"/>
  <c r="B61" i="6"/>
  <c r="L61" i="6"/>
  <c r="E57" i="5"/>
  <c r="E58" i="2"/>
  <c r="E56" i="7"/>
  <c r="C61" i="2"/>
  <c r="B61" i="2"/>
  <c r="L61" i="2"/>
  <c r="D61" i="2"/>
  <c r="E66" i="4"/>
  <c r="D7" i="4"/>
  <c r="G7" i="4" s="1"/>
  <c r="G8" i="16" s="1"/>
  <c r="D64" i="7"/>
  <c r="C64" i="7"/>
  <c r="B64" i="7"/>
  <c r="L64" i="7"/>
  <c r="L62" i="6"/>
  <c r="C62" i="6"/>
  <c r="B62" i="6"/>
  <c r="D62" i="6"/>
  <c r="D7" i="6"/>
  <c r="E66" i="6"/>
  <c r="D7" i="3"/>
  <c r="G7" i="3" s="1"/>
  <c r="I8" i="16" s="1"/>
  <c r="E66" i="3"/>
  <c r="E61" i="4"/>
  <c r="E66" i="5"/>
  <c r="D7" i="5"/>
  <c r="E57" i="8" l="1"/>
  <c r="E64" i="5"/>
  <c r="Q8" i="13"/>
  <c r="I7" i="9"/>
  <c r="B63" i="8"/>
  <c r="C63" i="3"/>
  <c r="B63" i="3"/>
  <c r="E64" i="6"/>
  <c r="B70" i="6" s="1"/>
  <c r="M70" i="6" s="1"/>
  <c r="Z8" i="13"/>
  <c r="R7" i="9"/>
  <c r="D63" i="3"/>
  <c r="E64" i="3"/>
  <c r="B70" i="3" s="1"/>
  <c r="M70" i="3" s="1"/>
  <c r="E63" i="7"/>
  <c r="B69" i="7" s="1"/>
  <c r="F32" i="7" s="1"/>
  <c r="C63" i="6"/>
  <c r="D63" i="6"/>
  <c r="L63" i="6"/>
  <c r="L68" i="4"/>
  <c r="Q11" i="4" s="1"/>
  <c r="C67" i="5"/>
  <c r="E67" i="5" s="1"/>
  <c r="B68" i="4"/>
  <c r="F30" i="4" s="1"/>
  <c r="E7" i="9"/>
  <c r="I8" i="13"/>
  <c r="D68" i="4"/>
  <c r="E61" i="7"/>
  <c r="L67" i="7" s="1"/>
  <c r="B68" i="3"/>
  <c r="M68" i="3" s="1"/>
  <c r="L67" i="3"/>
  <c r="O8" i="3" s="1"/>
  <c r="L68" i="3"/>
  <c r="Q11" i="3" s="1"/>
  <c r="C61" i="8"/>
  <c r="E61" i="8" s="1"/>
  <c r="C67" i="3"/>
  <c r="E67" i="3" s="1"/>
  <c r="B61" i="8"/>
  <c r="B67" i="3"/>
  <c r="F28" i="3" s="1"/>
  <c r="L61" i="8"/>
  <c r="C70" i="4"/>
  <c r="D13" i="4" s="1"/>
  <c r="B70" i="4"/>
  <c r="F34" i="4" s="1"/>
  <c r="D63" i="8"/>
  <c r="L63" i="8"/>
  <c r="B63" i="2"/>
  <c r="L63" i="2"/>
  <c r="D63" i="2"/>
  <c r="E63" i="2" s="1"/>
  <c r="E64" i="8"/>
  <c r="L70" i="8" s="1"/>
  <c r="L70" i="4"/>
  <c r="D70" i="4"/>
  <c r="F14" i="4" s="1"/>
  <c r="B67" i="5"/>
  <c r="F28" i="5" s="1"/>
  <c r="D68" i="3"/>
  <c r="F9" i="3" s="1"/>
  <c r="C63" i="8"/>
  <c r="L67" i="5"/>
  <c r="O8" i="5" s="1"/>
  <c r="E61" i="6"/>
  <c r="B67" i="6" s="1"/>
  <c r="D10" i="3"/>
  <c r="D9" i="3"/>
  <c r="D11" i="3"/>
  <c r="C7" i="9"/>
  <c r="E8" i="13"/>
  <c r="D7" i="9"/>
  <c r="G8" i="13"/>
  <c r="E64" i="7"/>
  <c r="D70" i="7" s="1"/>
  <c r="F13" i="7" s="1"/>
  <c r="E61" i="2"/>
  <c r="C67" i="2" s="1"/>
  <c r="B62" i="8"/>
  <c r="C62" i="8"/>
  <c r="L62" i="8"/>
  <c r="D62" i="8"/>
  <c r="F8" i="3"/>
  <c r="L68" i="5"/>
  <c r="C68" i="5"/>
  <c r="B68" i="5"/>
  <c r="D68" i="5"/>
  <c r="D62" i="7"/>
  <c r="B62" i="7"/>
  <c r="C62" i="7"/>
  <c r="L62" i="7"/>
  <c r="C67" i="4"/>
  <c r="L67" i="4"/>
  <c r="D67" i="4"/>
  <c r="B67" i="4"/>
  <c r="E62" i="6"/>
  <c r="D9" i="4"/>
  <c r="D10" i="4"/>
  <c r="D11" i="4"/>
  <c r="L64" i="2"/>
  <c r="D64" i="2"/>
  <c r="C64" i="2"/>
  <c r="B64" i="2"/>
  <c r="E63" i="4"/>
  <c r="E62" i="2"/>
  <c r="D63" i="5"/>
  <c r="C63" i="5"/>
  <c r="C70" i="5" s="1"/>
  <c r="B63" i="5"/>
  <c r="L63" i="5"/>
  <c r="L70" i="5" s="1"/>
  <c r="F8" i="5"/>
  <c r="B70" i="5" l="1"/>
  <c r="F33" i="5" s="1"/>
  <c r="D70" i="5"/>
  <c r="F14" i="5" s="1"/>
  <c r="L69" i="7"/>
  <c r="E63" i="3"/>
  <c r="C69" i="3" s="1"/>
  <c r="D15" i="3" s="1"/>
  <c r="C69" i="7"/>
  <c r="D12" i="7" s="1"/>
  <c r="D70" i="6"/>
  <c r="F13" i="6" s="1"/>
  <c r="C70" i="6"/>
  <c r="C70" i="3"/>
  <c r="D14" i="3" s="1"/>
  <c r="L70" i="3"/>
  <c r="L70" i="6"/>
  <c r="D70" i="3"/>
  <c r="F13" i="3" s="1"/>
  <c r="D69" i="7"/>
  <c r="F15" i="7" s="1"/>
  <c r="E63" i="6"/>
  <c r="L69" i="6" s="1"/>
  <c r="Q10" i="3"/>
  <c r="Q10" i="4"/>
  <c r="Q9" i="4"/>
  <c r="O11" i="4"/>
  <c r="R11" i="4" s="1"/>
  <c r="S11" i="4" s="1"/>
  <c r="D8" i="5"/>
  <c r="Q8" i="5"/>
  <c r="R8" i="5" s="1"/>
  <c r="S8" i="5" s="1"/>
  <c r="C67" i="7"/>
  <c r="F34" i="6"/>
  <c r="Q8" i="3"/>
  <c r="R8" i="3" s="1"/>
  <c r="S8" i="3" s="1"/>
  <c r="E68" i="4"/>
  <c r="F9" i="4"/>
  <c r="O13" i="4"/>
  <c r="Q14" i="4"/>
  <c r="F33" i="6"/>
  <c r="D70" i="8"/>
  <c r="F13" i="8" s="1"/>
  <c r="C67" i="6"/>
  <c r="D8" i="6" s="1"/>
  <c r="D8" i="3"/>
  <c r="E63" i="8"/>
  <c r="D69" i="8" s="1"/>
  <c r="M70" i="4"/>
  <c r="B69" i="2"/>
  <c r="F35" i="2" s="1"/>
  <c r="B67" i="7"/>
  <c r="F28" i="7" s="1"/>
  <c r="M67" i="3"/>
  <c r="D67" i="7"/>
  <c r="O8" i="7" s="1"/>
  <c r="F11" i="4"/>
  <c r="F31" i="4"/>
  <c r="O9" i="4"/>
  <c r="M68" i="4"/>
  <c r="E70" i="4"/>
  <c r="F29" i="4"/>
  <c r="F33" i="3"/>
  <c r="F13" i="4"/>
  <c r="F33" i="4"/>
  <c r="F10" i="4"/>
  <c r="O10" i="4"/>
  <c r="M67" i="5"/>
  <c r="O11" i="3"/>
  <c r="T11" i="3" s="1"/>
  <c r="O14" i="4"/>
  <c r="Q13" i="4"/>
  <c r="F30" i="3"/>
  <c r="Q9" i="3"/>
  <c r="O10" i="3"/>
  <c r="E68" i="3"/>
  <c r="O9" i="3"/>
  <c r="F31" i="3"/>
  <c r="F29" i="3"/>
  <c r="D14" i="4"/>
  <c r="L70" i="7"/>
  <c r="O14" i="7" s="1"/>
  <c r="M69" i="7"/>
  <c r="C70" i="8"/>
  <c r="Q13" i="8" s="1"/>
  <c r="B70" i="8"/>
  <c r="M70" i="8" s="1"/>
  <c r="E64" i="2"/>
  <c r="L70" i="2" s="1"/>
  <c r="L67" i="6"/>
  <c r="F10" i="3"/>
  <c r="F11" i="3"/>
  <c r="F34" i="3"/>
  <c r="D67" i="6"/>
  <c r="F8" i="6" s="1"/>
  <c r="M70" i="5"/>
  <c r="Q13" i="5"/>
  <c r="D13" i="5"/>
  <c r="Q14" i="5"/>
  <c r="D14" i="5"/>
  <c r="O14" i="5"/>
  <c r="F35" i="7"/>
  <c r="F34" i="5"/>
  <c r="B70" i="7"/>
  <c r="F33" i="7" s="1"/>
  <c r="C70" i="7"/>
  <c r="D14" i="7" s="1"/>
  <c r="F14" i="7"/>
  <c r="E63" i="5"/>
  <c r="L69" i="5" s="1"/>
  <c r="D67" i="2"/>
  <c r="E67" i="2" s="1"/>
  <c r="B67" i="2"/>
  <c r="F28" i="2" s="1"/>
  <c r="E62" i="7"/>
  <c r="C68" i="7" s="1"/>
  <c r="L67" i="2"/>
  <c r="Q8" i="2" s="1"/>
  <c r="B67" i="8"/>
  <c r="L67" i="8"/>
  <c r="D67" i="8"/>
  <c r="C67" i="8"/>
  <c r="M67" i="6"/>
  <c r="F28" i="6"/>
  <c r="L68" i="6"/>
  <c r="B68" i="6"/>
  <c r="D68" i="6"/>
  <c r="C68" i="6"/>
  <c r="E67" i="4"/>
  <c r="Q8" i="4"/>
  <c r="D8" i="4"/>
  <c r="L69" i="2"/>
  <c r="C69" i="2"/>
  <c r="D69" i="2"/>
  <c r="O11" i="5"/>
  <c r="O10" i="5"/>
  <c r="O9" i="5"/>
  <c r="F10" i="5"/>
  <c r="F9" i="5"/>
  <c r="F11" i="5"/>
  <c r="L68" i="2"/>
  <c r="D68" i="2"/>
  <c r="B68" i="2"/>
  <c r="C68" i="2"/>
  <c r="M67" i="4"/>
  <c r="F28" i="4"/>
  <c r="M68" i="5"/>
  <c r="F30" i="5"/>
  <c r="F29" i="5"/>
  <c r="F31" i="5"/>
  <c r="C69" i="4"/>
  <c r="L69" i="4"/>
  <c r="B69" i="4"/>
  <c r="D69" i="4"/>
  <c r="O8" i="4"/>
  <c r="F8" i="4"/>
  <c r="D10" i="5"/>
  <c r="D9" i="5"/>
  <c r="E68" i="5"/>
  <c r="D11" i="5"/>
  <c r="Q10" i="5"/>
  <c r="Q9" i="5"/>
  <c r="Q11" i="5"/>
  <c r="D8" i="2"/>
  <c r="E62" i="8"/>
  <c r="B69" i="6" l="1"/>
  <c r="M69" i="6" s="1"/>
  <c r="L69" i="3"/>
  <c r="Q12" i="3" s="1"/>
  <c r="D12" i="3"/>
  <c r="B69" i="3"/>
  <c r="M69" i="3" s="1"/>
  <c r="O13" i="5"/>
  <c r="K13" i="5" s="1"/>
  <c r="O13" i="6"/>
  <c r="Q15" i="7"/>
  <c r="E70" i="5"/>
  <c r="F13" i="5"/>
  <c r="D15" i="7"/>
  <c r="D69" i="3"/>
  <c r="E69" i="3" s="1"/>
  <c r="Q12" i="7"/>
  <c r="F14" i="6"/>
  <c r="E69" i="7"/>
  <c r="E70" i="6"/>
  <c r="D13" i="3"/>
  <c r="E70" i="3"/>
  <c r="D13" i="6"/>
  <c r="F14" i="3"/>
  <c r="O14" i="6"/>
  <c r="O13" i="3"/>
  <c r="C69" i="6"/>
  <c r="D12" i="6" s="1"/>
  <c r="Q14" i="3"/>
  <c r="F12" i="7"/>
  <c r="O12" i="7"/>
  <c r="D14" i="6"/>
  <c r="O15" i="7"/>
  <c r="Q13" i="3"/>
  <c r="Q13" i="6"/>
  <c r="Q14" i="6"/>
  <c r="O14" i="3"/>
  <c r="D69" i="6"/>
  <c r="F12" i="6" s="1"/>
  <c r="T10" i="3"/>
  <c r="K10" i="4"/>
  <c r="F8" i="7"/>
  <c r="T9" i="4"/>
  <c r="T11" i="4"/>
  <c r="K11" i="4"/>
  <c r="R10" i="4"/>
  <c r="S10" i="4" s="1"/>
  <c r="U10" i="4" s="1"/>
  <c r="J10" i="4" s="1"/>
  <c r="M10" i="4" s="1"/>
  <c r="G10" i="4" s="1"/>
  <c r="G11" i="16" s="1"/>
  <c r="T8" i="3"/>
  <c r="U8" i="3" s="1"/>
  <c r="J8" i="3" s="1"/>
  <c r="T13" i="4"/>
  <c r="T8" i="5"/>
  <c r="U8" i="5" s="1"/>
  <c r="J8" i="5" s="1"/>
  <c r="K8" i="5"/>
  <c r="E67" i="7"/>
  <c r="L69" i="8"/>
  <c r="O15" i="8" s="1"/>
  <c r="M67" i="7"/>
  <c r="D8" i="7"/>
  <c r="T10" i="4"/>
  <c r="K8" i="3"/>
  <c r="Q8" i="7"/>
  <c r="R8" i="7" s="1"/>
  <c r="S8" i="7" s="1"/>
  <c r="M69" i="2"/>
  <c r="K14" i="4"/>
  <c r="K13" i="4"/>
  <c r="Q8" i="6"/>
  <c r="O8" i="6"/>
  <c r="B69" i="8"/>
  <c r="M69" i="8" s="1"/>
  <c r="E67" i="6"/>
  <c r="C69" i="8"/>
  <c r="R13" i="4"/>
  <c r="S13" i="4" s="1"/>
  <c r="U13" i="4" s="1"/>
  <c r="J13" i="4" s="1"/>
  <c r="K9" i="4"/>
  <c r="R9" i="4"/>
  <c r="S9" i="4" s="1"/>
  <c r="U9" i="4" s="1"/>
  <c r="J9" i="4" s="1"/>
  <c r="M9" i="4" s="1"/>
  <c r="G9" i="4" s="1"/>
  <c r="G10" i="16" s="1"/>
  <c r="F32" i="2"/>
  <c r="O13" i="8"/>
  <c r="R13" i="8" s="1"/>
  <c r="S13" i="8" s="1"/>
  <c r="R10" i="3"/>
  <c r="S10" i="3" s="1"/>
  <c r="U10" i="3" s="1"/>
  <c r="J10" i="3" s="1"/>
  <c r="M10" i="3" s="1"/>
  <c r="G10" i="3" s="1"/>
  <c r="I11" i="16" s="1"/>
  <c r="F8" i="2"/>
  <c r="O14" i="8"/>
  <c r="F14" i="8"/>
  <c r="T14" i="4"/>
  <c r="B70" i="2"/>
  <c r="F33" i="2" s="1"/>
  <c r="D69" i="5"/>
  <c r="O15" i="5" s="1"/>
  <c r="F32" i="3"/>
  <c r="F34" i="7"/>
  <c r="M70" i="7"/>
  <c r="O13" i="7"/>
  <c r="K11" i="3"/>
  <c r="R11" i="3"/>
  <c r="S11" i="3" s="1"/>
  <c r="U11" i="3" s="1"/>
  <c r="J11" i="3" s="1"/>
  <c r="M11" i="3" s="1"/>
  <c r="G11" i="3" s="1"/>
  <c r="L68" i="7"/>
  <c r="Q9" i="7" s="1"/>
  <c r="C69" i="5"/>
  <c r="Q12" i="5" s="1"/>
  <c r="B69" i="5"/>
  <c r="F32" i="5" s="1"/>
  <c r="D68" i="7"/>
  <c r="E68" i="7" s="1"/>
  <c r="B68" i="7"/>
  <c r="F31" i="7" s="1"/>
  <c r="K9" i="3"/>
  <c r="K10" i="3"/>
  <c r="R14" i="4"/>
  <c r="S14" i="4" s="1"/>
  <c r="U14" i="4" s="1"/>
  <c r="J14" i="4" s="1"/>
  <c r="D13" i="7"/>
  <c r="R9" i="3"/>
  <c r="S9" i="3" s="1"/>
  <c r="Q14" i="8"/>
  <c r="T9" i="3"/>
  <c r="F34" i="8"/>
  <c r="R14" i="5"/>
  <c r="S14" i="5" s="1"/>
  <c r="U14" i="5" s="1"/>
  <c r="J14" i="5" s="1"/>
  <c r="M14" i="5" s="1"/>
  <c r="F33" i="8"/>
  <c r="C70" i="2"/>
  <c r="D14" i="2" s="1"/>
  <c r="T14" i="5"/>
  <c r="D13" i="8"/>
  <c r="K14" i="5"/>
  <c r="Q15" i="3"/>
  <c r="D70" i="2"/>
  <c r="O14" i="2" s="1"/>
  <c r="D14" i="8"/>
  <c r="E70" i="8"/>
  <c r="M67" i="2"/>
  <c r="Q13" i="7"/>
  <c r="E70" i="7"/>
  <c r="Q14" i="7"/>
  <c r="R14" i="7" s="1"/>
  <c r="S14" i="7" s="1"/>
  <c r="O8" i="2"/>
  <c r="R8" i="2" s="1"/>
  <c r="S8" i="2" s="1"/>
  <c r="U11" i="4"/>
  <c r="J11" i="4" s="1"/>
  <c r="O12" i="4"/>
  <c r="O15" i="4"/>
  <c r="F15" i="4"/>
  <c r="F12" i="4"/>
  <c r="F30" i="2"/>
  <c r="F29" i="2"/>
  <c r="M68" i="2"/>
  <c r="F31" i="2"/>
  <c r="Q10" i="6"/>
  <c r="D9" i="6"/>
  <c r="D10" i="6"/>
  <c r="D11" i="6"/>
  <c r="Q11" i="6"/>
  <c r="Q9" i="6"/>
  <c r="E68" i="6"/>
  <c r="O8" i="8"/>
  <c r="F8" i="8"/>
  <c r="F32" i="4"/>
  <c r="M69" i="4"/>
  <c r="F35" i="4"/>
  <c r="O10" i="2"/>
  <c r="O11" i="2"/>
  <c r="O9" i="2"/>
  <c r="F10" i="2"/>
  <c r="F9" i="2"/>
  <c r="F11" i="2"/>
  <c r="T9" i="5"/>
  <c r="R9" i="5"/>
  <c r="S9" i="5" s="1"/>
  <c r="U9" i="5" s="1"/>
  <c r="J9" i="5" s="1"/>
  <c r="K9" i="5"/>
  <c r="D11" i="7"/>
  <c r="D9" i="7"/>
  <c r="D10" i="7"/>
  <c r="O11" i="6"/>
  <c r="O10" i="6"/>
  <c r="O9" i="6"/>
  <c r="F10" i="6"/>
  <c r="F9" i="6"/>
  <c r="F11" i="6"/>
  <c r="R10" i="5"/>
  <c r="S10" i="5" s="1"/>
  <c r="U10" i="5" s="1"/>
  <c r="J10" i="5" s="1"/>
  <c r="T10" i="5"/>
  <c r="K10" i="5"/>
  <c r="F12" i="2"/>
  <c r="O15" i="2"/>
  <c r="F15" i="2"/>
  <c r="O12" i="2"/>
  <c r="F31" i="6"/>
  <c r="F30" i="6"/>
  <c r="M68" i="6"/>
  <c r="F29" i="6"/>
  <c r="M67" i="8"/>
  <c r="F28" i="8"/>
  <c r="F15" i="8"/>
  <c r="F12" i="8"/>
  <c r="K8" i="4"/>
  <c r="T8" i="4"/>
  <c r="R8" i="4"/>
  <c r="S8" i="4" s="1"/>
  <c r="E69" i="4"/>
  <c r="D12" i="4"/>
  <c r="Q15" i="4"/>
  <c r="Q12" i="4"/>
  <c r="D15" i="4"/>
  <c r="Q11" i="2"/>
  <c r="Q10" i="2"/>
  <c r="Q9" i="2"/>
  <c r="E68" i="2"/>
  <c r="D11" i="2"/>
  <c r="D10" i="2"/>
  <c r="D9" i="2"/>
  <c r="R11" i="5"/>
  <c r="S11" i="5" s="1"/>
  <c r="U11" i="5" s="1"/>
  <c r="J11" i="5" s="1"/>
  <c r="T11" i="5"/>
  <c r="K11" i="5"/>
  <c r="D12" i="2"/>
  <c r="D15" i="2"/>
  <c r="Q15" i="2"/>
  <c r="E69" i="2"/>
  <c r="Q12" i="2"/>
  <c r="E67" i="8"/>
  <c r="Q8" i="8"/>
  <c r="D8" i="8"/>
  <c r="C68" i="8"/>
  <c r="D68" i="8"/>
  <c r="L68" i="8"/>
  <c r="B68" i="8"/>
  <c r="O12" i="3" l="1"/>
  <c r="R12" i="3" s="1"/>
  <c r="S12" i="3" s="1"/>
  <c r="U12" i="3" s="1"/>
  <c r="J12" i="3" s="1"/>
  <c r="F35" i="6"/>
  <c r="F32" i="6"/>
  <c r="T13" i="6"/>
  <c r="R13" i="5"/>
  <c r="S13" i="5" s="1"/>
  <c r="U13" i="5" s="1"/>
  <c r="J13" i="5" s="1"/>
  <c r="M13" i="5" s="1"/>
  <c r="T13" i="5"/>
  <c r="F12" i="3"/>
  <c r="R14" i="3"/>
  <c r="S14" i="3" s="1"/>
  <c r="U14" i="3" s="1"/>
  <c r="J14" i="3" s="1"/>
  <c r="M14" i="3" s="1"/>
  <c r="G14" i="3" s="1"/>
  <c r="I15" i="16" s="1"/>
  <c r="T15" i="7"/>
  <c r="F35" i="3"/>
  <c r="K13" i="6"/>
  <c r="R13" i="6"/>
  <c r="S13" i="6" s="1"/>
  <c r="R12" i="7"/>
  <c r="S12" i="7" s="1"/>
  <c r="O15" i="3"/>
  <c r="R15" i="3" s="1"/>
  <c r="S15" i="3" s="1"/>
  <c r="U15" i="3" s="1"/>
  <c r="J15" i="3" s="1"/>
  <c r="M15" i="3" s="1"/>
  <c r="G15" i="3" s="1"/>
  <c r="I16" i="16" s="1"/>
  <c r="K12" i="7"/>
  <c r="F15" i="3"/>
  <c r="R15" i="7"/>
  <c r="S15" i="7" s="1"/>
  <c r="U15" i="7" s="1"/>
  <c r="J15" i="7" s="1"/>
  <c r="T12" i="7"/>
  <c r="R14" i="6"/>
  <c r="S14" i="6" s="1"/>
  <c r="T13" i="8"/>
  <c r="U13" i="8" s="1"/>
  <c r="J13" i="8" s="1"/>
  <c r="M13" i="8" s="1"/>
  <c r="T14" i="6"/>
  <c r="K14" i="6"/>
  <c r="D15" i="6"/>
  <c r="K13" i="3"/>
  <c r="R14" i="8"/>
  <c r="S14" i="8" s="1"/>
  <c r="O12" i="6"/>
  <c r="E69" i="6"/>
  <c r="T13" i="3"/>
  <c r="K14" i="3"/>
  <c r="T14" i="3"/>
  <c r="K15" i="7"/>
  <c r="R13" i="3"/>
  <c r="S13" i="3" s="1"/>
  <c r="U13" i="3" s="1"/>
  <c r="J13" i="3" s="1"/>
  <c r="M13" i="3" s="1"/>
  <c r="G13" i="3" s="1"/>
  <c r="O15" i="6"/>
  <c r="Q12" i="6"/>
  <c r="Q15" i="6"/>
  <c r="F15" i="6"/>
  <c r="L13" i="4"/>
  <c r="O14" i="16" s="1"/>
  <c r="L11" i="4"/>
  <c r="O12" i="16" s="1"/>
  <c r="K8" i="7"/>
  <c r="O13" i="2"/>
  <c r="O12" i="8"/>
  <c r="F35" i="8"/>
  <c r="T8" i="7"/>
  <c r="U8" i="7" s="1"/>
  <c r="J8" i="7" s="1"/>
  <c r="M8" i="7" s="1"/>
  <c r="T13" i="7"/>
  <c r="Q12" i="8"/>
  <c r="F32" i="8"/>
  <c r="Q10" i="7"/>
  <c r="F13" i="2"/>
  <c r="Q11" i="7"/>
  <c r="R8" i="6"/>
  <c r="S8" i="6" s="1"/>
  <c r="F14" i="2"/>
  <c r="E69" i="8"/>
  <c r="F10" i="7"/>
  <c r="L10" i="3"/>
  <c r="P11" i="16" s="1"/>
  <c r="F30" i="7"/>
  <c r="D12" i="8"/>
  <c r="M68" i="7"/>
  <c r="Q15" i="8"/>
  <c r="R15" i="8" s="1"/>
  <c r="S15" i="8" s="1"/>
  <c r="F29" i="7"/>
  <c r="F15" i="5"/>
  <c r="D15" i="8"/>
  <c r="K14" i="8"/>
  <c r="T8" i="6"/>
  <c r="K8" i="6"/>
  <c r="O12" i="5"/>
  <c r="R12" i="5" s="1"/>
  <c r="S12" i="5" s="1"/>
  <c r="U12" i="5" s="1"/>
  <c r="J12" i="5" s="1"/>
  <c r="F35" i="5"/>
  <c r="F12" i="5"/>
  <c r="M69" i="5"/>
  <c r="K13" i="8"/>
  <c r="K8" i="2"/>
  <c r="M70" i="2"/>
  <c r="F9" i="7"/>
  <c r="O11" i="7"/>
  <c r="F34" i="2"/>
  <c r="O10" i="7"/>
  <c r="F11" i="7"/>
  <c r="O9" i="7"/>
  <c r="R9" i="7" s="1"/>
  <c r="S9" i="7" s="1"/>
  <c r="L11" i="3"/>
  <c r="P12" i="16" s="1"/>
  <c r="E69" i="5"/>
  <c r="D15" i="5"/>
  <c r="D12" i="5"/>
  <c r="Q15" i="5"/>
  <c r="K15" i="5" s="1"/>
  <c r="I12" i="16"/>
  <c r="E11" i="9"/>
  <c r="I12" i="13"/>
  <c r="T14" i="8"/>
  <c r="D13" i="2"/>
  <c r="E70" i="2"/>
  <c r="Q14" i="2"/>
  <c r="K14" i="2" s="1"/>
  <c r="M13" i="4"/>
  <c r="G13" i="4" s="1"/>
  <c r="G14" i="16" s="1"/>
  <c r="L9" i="4"/>
  <c r="O10" i="16" s="1"/>
  <c r="R13" i="7"/>
  <c r="S13" i="7" s="1"/>
  <c r="Q13" i="2"/>
  <c r="U9" i="3"/>
  <c r="J9" i="3" s="1"/>
  <c r="L9" i="3" s="1"/>
  <c r="N30" i="5"/>
  <c r="L14" i="5"/>
  <c r="Q15" i="16" s="1"/>
  <c r="L10" i="4"/>
  <c r="O11" i="16" s="1"/>
  <c r="K13" i="7"/>
  <c r="T8" i="2"/>
  <c r="U8" i="2" s="1"/>
  <c r="J8" i="2" s="1"/>
  <c r="M11" i="4"/>
  <c r="G11" i="4" s="1"/>
  <c r="T14" i="7"/>
  <c r="U14" i="7" s="1"/>
  <c r="J14" i="7" s="1"/>
  <c r="K14" i="7"/>
  <c r="D10" i="9"/>
  <c r="G11" i="13"/>
  <c r="E10" i="9"/>
  <c r="I11" i="13"/>
  <c r="D9" i="9"/>
  <c r="G10" i="13"/>
  <c r="T11" i="6"/>
  <c r="F29" i="8"/>
  <c r="M68" i="8"/>
  <c r="F30" i="8"/>
  <c r="F31" i="8"/>
  <c r="T11" i="2"/>
  <c r="K11" i="2"/>
  <c r="R11" i="2"/>
  <c r="S11" i="2" s="1"/>
  <c r="M11" i="5"/>
  <c r="L11" i="5"/>
  <c r="Q12" i="16" s="1"/>
  <c r="M14" i="4"/>
  <c r="G14" i="4" s="1"/>
  <c r="G15" i="16" s="1"/>
  <c r="N30" i="4"/>
  <c r="L14" i="4"/>
  <c r="O15" i="16" s="1"/>
  <c r="M10" i="5"/>
  <c r="L10" i="5"/>
  <c r="Q11" i="16" s="1"/>
  <c r="K10" i="6"/>
  <c r="R10" i="6"/>
  <c r="S10" i="6" s="1"/>
  <c r="T10" i="6"/>
  <c r="K10" i="2"/>
  <c r="R10" i="2"/>
  <c r="S10" i="2" s="1"/>
  <c r="T10" i="2"/>
  <c r="O10" i="8"/>
  <c r="O11" i="8"/>
  <c r="O9" i="8"/>
  <c r="F9" i="8"/>
  <c r="F10" i="8"/>
  <c r="F11" i="8"/>
  <c r="U8" i="4"/>
  <c r="J8" i="4" s="1"/>
  <c r="K11" i="6"/>
  <c r="R11" i="6"/>
  <c r="S11" i="6" s="1"/>
  <c r="K8" i="8"/>
  <c r="R8" i="8"/>
  <c r="S8" i="8" s="1"/>
  <c r="T8" i="8"/>
  <c r="K15" i="4"/>
  <c r="R15" i="4"/>
  <c r="S15" i="4" s="1"/>
  <c r="T15" i="4"/>
  <c r="M8" i="5"/>
  <c r="L8" i="5"/>
  <c r="Q9" i="16" s="1"/>
  <c r="M8" i="3"/>
  <c r="G8" i="3" s="1"/>
  <c r="I9" i="16" s="1"/>
  <c r="L8" i="3"/>
  <c r="P9" i="16" s="1"/>
  <c r="T9" i="6"/>
  <c r="K9" i="6"/>
  <c r="R9" i="6"/>
  <c r="S9" i="6" s="1"/>
  <c r="T15" i="2"/>
  <c r="K15" i="2"/>
  <c r="R15" i="2"/>
  <c r="S15" i="2" s="1"/>
  <c r="D9" i="8"/>
  <c r="Q11" i="8"/>
  <c r="Q9" i="8"/>
  <c r="D11" i="8"/>
  <c r="Q10" i="8"/>
  <c r="E68" i="8"/>
  <c r="D10" i="8"/>
  <c r="R12" i="2"/>
  <c r="S12" i="2" s="1"/>
  <c r="T12" i="2"/>
  <c r="K12" i="2"/>
  <c r="L9" i="5"/>
  <c r="Q10" i="16" s="1"/>
  <c r="M9" i="5"/>
  <c r="R9" i="2"/>
  <c r="S9" i="2" s="1"/>
  <c r="K9" i="2"/>
  <c r="T9" i="2"/>
  <c r="T12" i="4"/>
  <c r="R12" i="4"/>
  <c r="S12" i="4" s="1"/>
  <c r="K12" i="4"/>
  <c r="U14" i="6" l="1"/>
  <c r="J14" i="6" s="1"/>
  <c r="M14" i="6" s="1"/>
  <c r="G14" i="6" s="1"/>
  <c r="M15" i="13" s="1"/>
  <c r="U13" i="6"/>
  <c r="J13" i="6" s="1"/>
  <c r="M13" i="6" s="1"/>
  <c r="T12" i="3"/>
  <c r="K12" i="3"/>
  <c r="L12" i="3" s="1"/>
  <c r="P13" i="16" s="1"/>
  <c r="T15" i="3"/>
  <c r="G13" i="6"/>
  <c r="M14" i="13" s="1"/>
  <c r="K15" i="3"/>
  <c r="G13" i="8"/>
  <c r="Q14" i="13" s="1"/>
  <c r="N30" i="3"/>
  <c r="L13" i="5"/>
  <c r="Q14" i="16" s="1"/>
  <c r="U13" i="7"/>
  <c r="J13" i="7" s="1"/>
  <c r="M13" i="7" s="1"/>
  <c r="L13" i="8"/>
  <c r="T14" i="16" s="1"/>
  <c r="U12" i="7"/>
  <c r="J12" i="7" s="1"/>
  <c r="M12" i="7" s="1"/>
  <c r="L14" i="3"/>
  <c r="P15" i="16" s="1"/>
  <c r="I15" i="13"/>
  <c r="E14" i="9"/>
  <c r="L13" i="6"/>
  <c r="R14" i="16" s="1"/>
  <c r="L15" i="7"/>
  <c r="S16" i="16" s="1"/>
  <c r="M15" i="7"/>
  <c r="L13" i="3"/>
  <c r="P14" i="16" s="1"/>
  <c r="T12" i="6"/>
  <c r="R12" i="6"/>
  <c r="S12" i="6" s="1"/>
  <c r="K12" i="6"/>
  <c r="K15" i="6"/>
  <c r="U14" i="8"/>
  <c r="J14" i="8" s="1"/>
  <c r="N30" i="8" s="1"/>
  <c r="R15" i="6"/>
  <c r="S15" i="6" s="1"/>
  <c r="U15" i="6" s="1"/>
  <c r="J15" i="6" s="1"/>
  <c r="M15" i="6" s="1"/>
  <c r="G15" i="6" s="1"/>
  <c r="T15" i="6"/>
  <c r="M13" i="9"/>
  <c r="U14" i="13"/>
  <c r="U12" i="13"/>
  <c r="M11" i="9"/>
  <c r="R12" i="8"/>
  <c r="S12" i="8" s="1"/>
  <c r="T13" i="2"/>
  <c r="U8" i="6"/>
  <c r="J8" i="6" s="1"/>
  <c r="M8" i="6" s="1"/>
  <c r="G8" i="6" s="1"/>
  <c r="M9" i="13" s="1"/>
  <c r="R13" i="2"/>
  <c r="S13" i="2" s="1"/>
  <c r="U13" i="2" s="1"/>
  <c r="J13" i="2" s="1"/>
  <c r="M13" i="2" s="1"/>
  <c r="G13" i="2" s="1"/>
  <c r="E14" i="16" s="1"/>
  <c r="T15" i="8"/>
  <c r="V11" i="13"/>
  <c r="G14" i="9"/>
  <c r="T12" i="8"/>
  <c r="K12" i="8"/>
  <c r="R10" i="7"/>
  <c r="S10" i="7" s="1"/>
  <c r="T11" i="7"/>
  <c r="T10" i="7"/>
  <c r="L8" i="2"/>
  <c r="N9" i="16" s="1"/>
  <c r="K13" i="2"/>
  <c r="R15" i="5"/>
  <c r="S15" i="5" s="1"/>
  <c r="U15" i="5" s="1"/>
  <c r="J15" i="5" s="1"/>
  <c r="M15" i="5" s="1"/>
  <c r="K11" i="7"/>
  <c r="K15" i="8"/>
  <c r="T9" i="7"/>
  <c r="U9" i="7" s="1"/>
  <c r="J9" i="7" s="1"/>
  <c r="M9" i="7" s="1"/>
  <c r="N10" i="9"/>
  <c r="N30" i="6"/>
  <c r="R11" i="7"/>
  <c r="S11" i="7" s="1"/>
  <c r="L14" i="6"/>
  <c r="R15" i="16" s="1"/>
  <c r="K12" i="5"/>
  <c r="L12" i="5" s="1"/>
  <c r="Q13" i="16" s="1"/>
  <c r="T12" i="5"/>
  <c r="K10" i="7"/>
  <c r="R14" i="2"/>
  <c r="S14" i="2" s="1"/>
  <c r="U14" i="2" s="1"/>
  <c r="J14" i="2" s="1"/>
  <c r="M14" i="2" s="1"/>
  <c r="G14" i="2" s="1"/>
  <c r="E15" i="16" s="1"/>
  <c r="D13" i="9"/>
  <c r="G14" i="13"/>
  <c r="K9" i="7"/>
  <c r="T14" i="2"/>
  <c r="V12" i="13"/>
  <c r="U10" i="13"/>
  <c r="N11" i="9"/>
  <c r="T15" i="5"/>
  <c r="L15" i="3"/>
  <c r="P16" i="16" s="1"/>
  <c r="M9" i="3"/>
  <c r="G9" i="3" s="1"/>
  <c r="I10" i="13" s="1"/>
  <c r="I14" i="13"/>
  <c r="I14" i="16"/>
  <c r="G12" i="13"/>
  <c r="G12" i="16"/>
  <c r="N9" i="9"/>
  <c r="P10" i="16"/>
  <c r="M14" i="7"/>
  <c r="N30" i="7"/>
  <c r="L14" i="7"/>
  <c r="S15" i="16" s="1"/>
  <c r="L8" i="7"/>
  <c r="S9" i="16" s="1"/>
  <c r="M9" i="9"/>
  <c r="M10" i="9"/>
  <c r="O14" i="9"/>
  <c r="V10" i="13"/>
  <c r="W15" i="13"/>
  <c r="U12" i="2"/>
  <c r="J12" i="2" s="1"/>
  <c r="L12" i="2" s="1"/>
  <c r="N13" i="16" s="1"/>
  <c r="D11" i="9"/>
  <c r="E13" i="9"/>
  <c r="U11" i="13"/>
  <c r="M8" i="2"/>
  <c r="G8" i="2" s="1"/>
  <c r="E9" i="16" s="1"/>
  <c r="U15" i="2"/>
  <c r="J15" i="2" s="1"/>
  <c r="M15" i="2" s="1"/>
  <c r="G15" i="2" s="1"/>
  <c r="E16" i="16" s="1"/>
  <c r="U12" i="4"/>
  <c r="J12" i="4" s="1"/>
  <c r="L12" i="4" s="1"/>
  <c r="O13" i="16" s="1"/>
  <c r="U11" i="6"/>
  <c r="J11" i="6" s="1"/>
  <c r="M11" i="6" s="1"/>
  <c r="G11" i="6" s="1"/>
  <c r="O9" i="9"/>
  <c r="W10" i="13"/>
  <c r="E15" i="9"/>
  <c r="I16" i="13"/>
  <c r="U10" i="2"/>
  <c r="J10" i="2" s="1"/>
  <c r="M10" i="2" s="1"/>
  <c r="G10" i="2" s="1"/>
  <c r="E11" i="16" s="1"/>
  <c r="O10" i="9"/>
  <c r="W11" i="13"/>
  <c r="D14" i="9"/>
  <c r="G15" i="13"/>
  <c r="N8" i="9"/>
  <c r="V9" i="13"/>
  <c r="O11" i="9"/>
  <c r="W12" i="13"/>
  <c r="E8" i="9"/>
  <c r="I9" i="13"/>
  <c r="O8" i="9"/>
  <c r="W9" i="13"/>
  <c r="M14" i="9"/>
  <c r="U15" i="13"/>
  <c r="R9" i="8"/>
  <c r="S9" i="8" s="1"/>
  <c r="U9" i="2"/>
  <c r="J9" i="2" s="1"/>
  <c r="L9" i="2" s="1"/>
  <c r="N10" i="16" s="1"/>
  <c r="U11" i="2"/>
  <c r="J11" i="2" s="1"/>
  <c r="M11" i="2" s="1"/>
  <c r="G11" i="2" s="1"/>
  <c r="E12" i="16" s="1"/>
  <c r="M12" i="5"/>
  <c r="U9" i="6"/>
  <c r="J9" i="6" s="1"/>
  <c r="U8" i="8"/>
  <c r="J8" i="8" s="1"/>
  <c r="M8" i="4"/>
  <c r="G8" i="4" s="1"/>
  <c r="G9" i="16" s="1"/>
  <c r="L8" i="4"/>
  <c r="O9" i="16" s="1"/>
  <c r="R10" i="8"/>
  <c r="S10" i="8" s="1"/>
  <c r="T10" i="8"/>
  <c r="K10" i="8"/>
  <c r="U15" i="4"/>
  <c r="J15" i="4" s="1"/>
  <c r="U15" i="8"/>
  <c r="J15" i="8" s="1"/>
  <c r="U10" i="6"/>
  <c r="J10" i="6" s="1"/>
  <c r="K11" i="8"/>
  <c r="T11" i="8"/>
  <c r="R11" i="8"/>
  <c r="S11" i="8" s="1"/>
  <c r="M12" i="3"/>
  <c r="G12" i="3" s="1"/>
  <c r="I13" i="16" s="1"/>
  <c r="K9" i="8"/>
  <c r="T9" i="8"/>
  <c r="N14" i="9" l="1"/>
  <c r="O13" i="9"/>
  <c r="U12" i="6"/>
  <c r="J12" i="6" s="1"/>
  <c r="M12" i="6" s="1"/>
  <c r="G12" i="6" s="1"/>
  <c r="G12" i="9" s="1"/>
  <c r="V15" i="13"/>
  <c r="U10" i="7"/>
  <c r="J10" i="7" s="1"/>
  <c r="L10" i="7" s="1"/>
  <c r="S11" i="16" s="1"/>
  <c r="G13" i="9"/>
  <c r="K14" i="16"/>
  <c r="U11" i="7"/>
  <c r="J11" i="7" s="1"/>
  <c r="M11" i="7" s="1"/>
  <c r="Q15" i="9"/>
  <c r="I13" i="9"/>
  <c r="L12" i="7"/>
  <c r="S13" i="16" s="1"/>
  <c r="Z14" i="13"/>
  <c r="L13" i="7"/>
  <c r="S14" i="16" s="1"/>
  <c r="R13" i="9"/>
  <c r="W14" i="13"/>
  <c r="U12" i="8"/>
  <c r="J12" i="8" s="1"/>
  <c r="M12" i="8" s="1"/>
  <c r="G12" i="8" s="1"/>
  <c r="K13" i="16" s="1"/>
  <c r="P13" i="9"/>
  <c r="X14" i="13"/>
  <c r="Y16" i="13"/>
  <c r="V14" i="13"/>
  <c r="N13" i="9"/>
  <c r="L15" i="6"/>
  <c r="R16" i="16" s="1"/>
  <c r="M14" i="8"/>
  <c r="G14" i="8" s="1"/>
  <c r="K15" i="16" s="1"/>
  <c r="L14" i="8"/>
  <c r="T15" i="16" s="1"/>
  <c r="L8" i="6"/>
  <c r="R9" i="16" s="1"/>
  <c r="L15" i="5"/>
  <c r="Q16" i="16" s="1"/>
  <c r="T9" i="13"/>
  <c r="L8" i="9"/>
  <c r="X15" i="13"/>
  <c r="P14" i="9"/>
  <c r="G8" i="9"/>
  <c r="Q14" i="9"/>
  <c r="Y15" i="13"/>
  <c r="Y14" i="13"/>
  <c r="E9" i="13"/>
  <c r="L10" i="2"/>
  <c r="N11" i="16" s="1"/>
  <c r="L11" i="6"/>
  <c r="R12" i="16" s="1"/>
  <c r="V16" i="13"/>
  <c r="N15" i="9"/>
  <c r="I10" i="16"/>
  <c r="C8" i="9"/>
  <c r="E9" i="9"/>
  <c r="G11" i="9"/>
  <c r="M12" i="13"/>
  <c r="G15" i="9"/>
  <c r="M16" i="13"/>
  <c r="Y9" i="13"/>
  <c r="M12" i="2"/>
  <c r="G12" i="2" s="1"/>
  <c r="C12" i="9" s="1"/>
  <c r="Q8" i="9"/>
  <c r="L15" i="2"/>
  <c r="N16" i="16" s="1"/>
  <c r="L13" i="2"/>
  <c r="N14" i="16" s="1"/>
  <c r="L11" i="2"/>
  <c r="N12" i="16" s="1"/>
  <c r="M12" i="4"/>
  <c r="G12" i="4" s="1"/>
  <c r="M9" i="2"/>
  <c r="G9" i="2" s="1"/>
  <c r="L9" i="7"/>
  <c r="S10" i="16" s="1"/>
  <c r="L14" i="2"/>
  <c r="N15" i="16" s="1"/>
  <c r="N30" i="2"/>
  <c r="C14" i="9"/>
  <c r="E15" i="13"/>
  <c r="C15" i="9"/>
  <c r="E16" i="13"/>
  <c r="L9" i="9"/>
  <c r="T10" i="13"/>
  <c r="C11" i="9"/>
  <c r="E12" i="13"/>
  <c r="M8" i="9"/>
  <c r="U9" i="13"/>
  <c r="O12" i="9"/>
  <c r="W13" i="13"/>
  <c r="C13" i="9"/>
  <c r="E14" i="13"/>
  <c r="M12" i="9"/>
  <c r="U13" i="13"/>
  <c r="E12" i="9"/>
  <c r="I13" i="13"/>
  <c r="D8" i="9"/>
  <c r="G9" i="13"/>
  <c r="U9" i="8"/>
  <c r="J9" i="8" s="1"/>
  <c r="M9" i="8" s="1"/>
  <c r="G9" i="8" s="1"/>
  <c r="K10" i="16" s="1"/>
  <c r="C10" i="9"/>
  <c r="E11" i="13"/>
  <c r="N12" i="9"/>
  <c r="V13" i="13"/>
  <c r="L12" i="9"/>
  <c r="T13" i="13"/>
  <c r="L15" i="8"/>
  <c r="T16" i="16" s="1"/>
  <c r="M15" i="8"/>
  <c r="G15" i="8" s="1"/>
  <c r="K16" i="16" s="1"/>
  <c r="L15" i="4"/>
  <c r="O16" i="16" s="1"/>
  <c r="M15" i="4"/>
  <c r="G15" i="4" s="1"/>
  <c r="G16" i="16" s="1"/>
  <c r="M8" i="8"/>
  <c r="G8" i="8" s="1"/>
  <c r="K9" i="16" s="1"/>
  <c r="L8" i="8"/>
  <c r="T9" i="16" s="1"/>
  <c r="U11" i="8"/>
  <c r="J11" i="8" s="1"/>
  <c r="U10" i="8"/>
  <c r="J10" i="8" s="1"/>
  <c r="L9" i="6"/>
  <c r="R10" i="16" s="1"/>
  <c r="M9" i="6"/>
  <c r="G9" i="6" s="1"/>
  <c r="M10" i="6"/>
  <c r="G10" i="6" s="1"/>
  <c r="L10" i="6"/>
  <c r="R11" i="16" s="1"/>
  <c r="L11" i="7" l="1"/>
  <c r="S12" i="16" s="1"/>
  <c r="M13" i="13"/>
  <c r="Q12" i="9"/>
  <c r="M10" i="7"/>
  <c r="L12" i="8"/>
  <c r="T13" i="16" s="1"/>
  <c r="L12" i="6"/>
  <c r="R13" i="16" s="1"/>
  <c r="Y13" i="13"/>
  <c r="Q13" i="9"/>
  <c r="P15" i="9"/>
  <c r="X16" i="13"/>
  <c r="Q15" i="13"/>
  <c r="I14" i="9"/>
  <c r="Z15" i="13"/>
  <c r="R14" i="9"/>
  <c r="P8" i="9"/>
  <c r="X9" i="13"/>
  <c r="Q10" i="9"/>
  <c r="Y11" i="13"/>
  <c r="O15" i="9"/>
  <c r="W16" i="13"/>
  <c r="L10" i="9"/>
  <c r="X12" i="13"/>
  <c r="L13" i="9"/>
  <c r="T11" i="13"/>
  <c r="L15" i="9"/>
  <c r="P11" i="9"/>
  <c r="T14" i="13"/>
  <c r="G10" i="9"/>
  <c r="M11" i="13"/>
  <c r="M10" i="13"/>
  <c r="G9" i="9"/>
  <c r="T16" i="13"/>
  <c r="C9" i="9"/>
  <c r="E10" i="16"/>
  <c r="D12" i="9"/>
  <c r="G13" i="16"/>
  <c r="E13" i="13"/>
  <c r="E13" i="16"/>
  <c r="L11" i="9"/>
  <c r="T15" i="13"/>
  <c r="T12" i="13"/>
  <c r="Q9" i="9"/>
  <c r="G13" i="13"/>
  <c r="E10" i="13"/>
  <c r="L14" i="9"/>
  <c r="L9" i="8"/>
  <c r="T10" i="16" s="1"/>
  <c r="Y10" i="13"/>
  <c r="M15" i="9"/>
  <c r="U16" i="13"/>
  <c r="I12" i="9"/>
  <c r="Q13" i="13"/>
  <c r="P9" i="9"/>
  <c r="X10" i="13"/>
  <c r="R8" i="9"/>
  <c r="Z9" i="13"/>
  <c r="I15" i="9"/>
  <c r="Q16" i="13"/>
  <c r="P10" i="9"/>
  <c r="X11" i="13"/>
  <c r="I8" i="9"/>
  <c r="Q9" i="13"/>
  <c r="R15" i="9"/>
  <c r="Z16" i="13"/>
  <c r="I9" i="9"/>
  <c r="Q10" i="13"/>
  <c r="Y12" i="13"/>
  <c r="D15" i="9"/>
  <c r="G16" i="13"/>
  <c r="M10" i="8"/>
  <c r="G10" i="8" s="1"/>
  <c r="K11" i="16" s="1"/>
  <c r="L10" i="8"/>
  <c r="T11" i="16" s="1"/>
  <c r="L11" i="8"/>
  <c r="T12" i="16" s="1"/>
  <c r="M11" i="8"/>
  <c r="G11" i="8" s="1"/>
  <c r="K12" i="16" s="1"/>
  <c r="Q11" i="9" l="1"/>
  <c r="R12" i="9"/>
  <c r="Z13" i="13"/>
  <c r="X13" i="13"/>
  <c r="P12" i="9"/>
  <c r="R9" i="9"/>
  <c r="Z10" i="13"/>
  <c r="R10" i="9"/>
  <c r="Z11" i="13"/>
  <c r="I11" i="9"/>
  <c r="Q12" i="13"/>
  <c r="I10" i="9"/>
  <c r="Q11" i="13"/>
  <c r="R11" i="9"/>
  <c r="Z12" i="13"/>
</calcChain>
</file>

<file path=xl/sharedStrings.xml><?xml version="1.0" encoding="utf-8"?>
<sst xmlns="http://schemas.openxmlformats.org/spreadsheetml/2006/main" count="654" uniqueCount="141">
  <si>
    <t xml:space="preserve"> AREA REPORTED</t>
  </si>
  <si>
    <t xml:space="preserve">Data Entry Section </t>
  </si>
  <si>
    <t>Total Youth</t>
  </si>
  <si>
    <t>White</t>
  </si>
  <si>
    <t>Hispanic or Latino</t>
  </si>
  <si>
    <t>Asian</t>
  </si>
  <si>
    <t>American Indian or Alaska Native</t>
  </si>
  <si>
    <t>All Minorities</t>
  </si>
  <si>
    <t xml:space="preserve">2. Juvenile Arrests </t>
  </si>
  <si>
    <t>3. Refer to Juvenile Court</t>
  </si>
  <si>
    <t xml:space="preserve">4. Cases Diverted </t>
  </si>
  <si>
    <t>5. Cases Involving Secure Detention</t>
  </si>
  <si>
    <t>6. Cases Petitioned (Charge Filed)</t>
  </si>
  <si>
    <t>7. Cases Resulting in Delinquent Findings</t>
  </si>
  <si>
    <t>8. Cases resulting in Probation Placement</t>
  </si>
  <si>
    <t xml:space="preserve">9. Cases Resulting in Confinement in Secure    Juvenile Correctional Facilities </t>
  </si>
  <si>
    <t xml:space="preserve">10. Cases Transferred to Adult Court </t>
  </si>
  <si>
    <t>Meets 1% rule for group to be assessed?</t>
  </si>
  <si>
    <t>5. DATA SOURCES &amp; NOTES</t>
  </si>
  <si>
    <t xml:space="preserve">Item 2.Arrest: </t>
  </si>
  <si>
    <t xml:space="preserve">Item 3.Referral: </t>
  </si>
  <si>
    <t xml:space="preserve">Item 4.Diversion: </t>
  </si>
  <si>
    <t xml:space="preserve">Item 5.Detention: </t>
  </si>
  <si>
    <t xml:space="preserve">Item 6.Petitioned: </t>
  </si>
  <si>
    <t xml:space="preserve">Item 7.Delinquent: </t>
  </si>
  <si>
    <t xml:space="preserve">Item 8.Probation: </t>
  </si>
  <si>
    <t xml:space="preserve">Item 9.Confinement: </t>
  </si>
  <si>
    <t xml:space="preserve">Item 10.Transferred: </t>
  </si>
  <si>
    <t/>
  </si>
  <si>
    <t>1. AREA REPORTED</t>
  </si>
  <si>
    <t>2. MINORITY    GROUP:</t>
  </si>
  <si>
    <t>comment - section below calculates chi square for each RRI value - treats as 2X2 table using base values to obtain the non-processed numbers</t>
  </si>
  <si>
    <t xml:space="preserve">Data Items </t>
  </si>
  <si>
    <t xml:space="preserve">Total Number of White Youth </t>
  </si>
  <si>
    <t>Rate of Occurrence - White Youth</t>
  </si>
  <si>
    <t xml:space="preserve">Total Number of Minority Youth </t>
  </si>
  <si>
    <t>Rate of Occurrence - Minority Youth</t>
  </si>
  <si>
    <t xml:space="preserve">Relative Rate Index      </t>
  </si>
  <si>
    <t xml:space="preserve">Stat. Signif? </t>
  </si>
  <si>
    <t>Sufficent Data for Signif. test?</t>
  </si>
  <si>
    <t>format control</t>
  </si>
  <si>
    <t xml:space="preserve">missing data indicator </t>
  </si>
  <si>
    <t>a</t>
  </si>
  <si>
    <t>b</t>
  </si>
  <si>
    <t>c</t>
  </si>
  <si>
    <t>d</t>
  </si>
  <si>
    <t>N</t>
  </si>
  <si>
    <t>X2 num</t>
  </si>
  <si>
    <t>X2 denom</t>
  </si>
  <si>
    <t>X2</t>
  </si>
  <si>
    <t>is gt 1%</t>
  </si>
  <si>
    <t>Key:</t>
  </si>
  <si>
    <t>Statistically significant results:</t>
  </si>
  <si>
    <t>Bold font</t>
  </si>
  <si>
    <t>Results that are not statistically significant</t>
  </si>
  <si>
    <t>Regular font</t>
  </si>
  <si>
    <t>Group is less than 1% of the youth population</t>
  </si>
  <si>
    <t>*</t>
  </si>
  <si>
    <t>Insufficient number of cases for analysis</t>
  </si>
  <si>
    <t>**</t>
  </si>
  <si>
    <t>Missing data for some element of calculation</t>
  </si>
  <si>
    <t>---</t>
  </si>
  <si>
    <t>Definitions of rates:</t>
  </si>
  <si>
    <t>regular</t>
  </si>
  <si>
    <t>2 = not sign</t>
  </si>
  <si>
    <t>Recommended Base</t>
  </si>
  <si>
    <t>Base Used</t>
  </si>
  <si>
    <t>3 = miss data</t>
  </si>
  <si>
    <t>2. Juveniles Arrested - rate per 1000 population</t>
  </si>
  <si>
    <t>gt 20 = insuff data</t>
  </si>
  <si>
    <t>3. Referrals to Juvenile Court - rate per 100 arrests</t>
  </si>
  <si>
    <t>gt 100 group not meet 1%</t>
  </si>
  <si>
    <t>4. Juveniles Diverted before adjudication - rate per 100 referrals</t>
  </si>
  <si>
    <t>5. Juveniles Detained  - rate per 100 referrals</t>
  </si>
  <si>
    <t>6. Juveniles Petitioned - rate per 100 referrals</t>
  </si>
  <si>
    <t>7. Juveniles found to be delinquent - rate per 100 youth petitioned (charged)</t>
  </si>
  <si>
    <t>8. Juveniles placed on probation - rate per 100 youth found delinquent</t>
  </si>
  <si>
    <t>9. Juveniles placed in secure correctional facilities - rate per 100 youth found delinquent</t>
  </si>
  <si>
    <t>10. Juveniles transferred to adult court - rate per 100 youth petitioned</t>
  </si>
  <si>
    <t>comments - section for caclulating the base for rate calculations - we do a 'bubble sort' to replace any zero or missing bases with the value of the preceding stage - also keep track of lablels!</t>
  </si>
  <si>
    <t>actual base</t>
  </si>
  <si>
    <t>white</t>
  </si>
  <si>
    <t>minority</t>
  </si>
  <si>
    <t>max</t>
  </si>
  <si>
    <t>pref base</t>
  </si>
  <si>
    <t>multiplier</t>
  </si>
  <si>
    <t>per 1000 youth</t>
  </si>
  <si>
    <t>per 100 arrests</t>
  </si>
  <si>
    <t>per 100 referrals</t>
  </si>
  <si>
    <t>per 100 youth petitioned</t>
  </si>
  <si>
    <t>per 100 youth found delinquent</t>
  </si>
  <si>
    <t>comment - the following are the final values to be used in calculations</t>
  </si>
  <si>
    <t>bold</t>
  </si>
  <si>
    <t>1 = signif</t>
  </si>
  <si>
    <t>Relative Rate Index Compared with White Juveniles</t>
  </si>
  <si>
    <t>6. Cases Petitioned</t>
  </si>
  <si>
    <t>Group meets 1% threshold?</t>
  </si>
  <si>
    <t>Population Based Rates</t>
  </si>
  <si>
    <t>Population Based Relative Rate Index Values</t>
  </si>
  <si>
    <t>Significance Testing</t>
  </si>
  <si>
    <t>The spreadsheet test provide a test of statistical significance  for use in guiding analysis.  The test which is used is based on the chi square distribution.  For a given decision (or example a finding of guilt / delinquency) It calculates the expected number of cases involving white youth and minority youth that would be expected to have the targeted decision (guilt), if there were no differences in the rates of that decision.  It then calculates how discrepant that actual results are from that expectation, and compares the size of the discrepancy to what could be expected to occur by chance at a given signficance level.  The 'standard' significance level is p=.05, meaning that a discrepancy of this magnitude (or larger) might occur by chance in 1 of 20 comparisons (.05 = 1/20).  For those who wish to use a different level of significance, choices below allow choosing the option of .10, .05, or .01</t>
  </si>
  <si>
    <t>Significance level</t>
  </si>
  <si>
    <t>critical value</t>
  </si>
  <si>
    <t>Data Sufficiency Test</t>
  </si>
  <si>
    <t>The Relative Risk Index is based on the computation and comparison of rates.  Under some circumstances these rates may be computed based on small numbers, which makes the rates relatively unreliable.  In general, rates based on five or fewer events from a possible base of 50 or fewer potential events should be viewed with caution.  In the individual work sheets for each race / ethnic group, a column appears which indicates whether the data meets these standards.  For those who wish to use other levels in their analysis of these data, the number of events and the size of the base population may be adjusted below.</t>
  </si>
  <si>
    <t>Minimum Number of Target Events</t>
  </si>
  <si>
    <t>Minimum Size of Base Population</t>
  </si>
  <si>
    <t xml:space="preserve">Reporting Period:  </t>
  </si>
  <si>
    <t>Item 3.Referral: State Court Administrative Office</t>
  </si>
  <si>
    <t>Item 4.Diversion: State Court Administrative Office</t>
  </si>
  <si>
    <t>Item 5.Detention: State Court Administrative Office</t>
  </si>
  <si>
    <t>Item 6.Petitioned: State Court Administrative Office</t>
  </si>
  <si>
    <t>Item 7.Delinquent: State Court Administrative Office</t>
  </si>
  <si>
    <t>Item 8.Probation: State Court Administrative Office</t>
  </si>
  <si>
    <t>Item 9.Confinement: State Court Administrative Office</t>
  </si>
  <si>
    <t>Item 10.Transferred: State Court Administrative Office</t>
  </si>
  <si>
    <t>No Race Data</t>
  </si>
  <si>
    <t>Value</t>
  </si>
  <si>
    <t>RRI</t>
  </si>
  <si>
    <t>Decision Point</t>
  </si>
  <si>
    <t>RRI Key:</t>
  </si>
  <si>
    <t>Juvenile Justice Disproportionality Summary</t>
  </si>
  <si>
    <t>State: Michigan</t>
  </si>
  <si>
    <t xml:space="preserve">9. Cases Resulting in Confinement in Secure Juvenile Correctional Facilities </t>
  </si>
  <si>
    <t>Biracial or Other</t>
  </si>
  <si>
    <t>Statistically Significant Results:</t>
  </si>
  <si>
    <t>Results that are not statistically significant:</t>
  </si>
  <si>
    <t>Statistically insignificant results:</t>
  </si>
  <si>
    <t xml:space="preserve">RRI </t>
  </si>
  <si>
    <t>Proportional Rate</t>
  </si>
  <si>
    <t>Other</t>
  </si>
  <si>
    <t>DP</t>
  </si>
  <si>
    <t>Black or African American</t>
  </si>
  <si>
    <t>8. Cases Resulting in Probation Placement</t>
  </si>
  <si>
    <t>3. Referred to Juvenile Court</t>
  </si>
  <si>
    <t>Native Hawaiian or Other Pacific Islanders</t>
  </si>
  <si>
    <t xml:space="preserve">1. Population at Risk (age 10 through 16) </t>
  </si>
  <si>
    <t>County: Emmet</t>
  </si>
  <si>
    <t>Item 1. Population: U.S. Census estimate (from C. Puzzanchera, A. Sladky, and W. Kang, "Easy Access to Juvenile Populations: 1990-2020," Online, accessed October 13, 2021 from http://www.ojjdp.gov/ojstatbb/ezapop/)</t>
  </si>
  <si>
    <t>Item 2. Arrest: Michigan State Police</t>
  </si>
  <si>
    <t>10/1/20 through 9/30/21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</si>
</sst>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E+00"/>
    <numFmt numFmtId="165" formatCode="_(* #,##0_);_(* \(#,##0\);_(* &quot;-&quot;??_);_(@_)"/>
  </numFmts>
  <fonts count="37" x14ac:knownFonts="1">
    <font>
      <sz val="10"/>
      <color indexed="8"/>
      <name val="Arial"/>
    </font>
    <font>
      <sz val="11"/>
      <color theme="1"/>
      <name val="Estrangelo Edessa"/>
      <family val="2"/>
      <scheme val="minor"/>
    </font>
    <font>
      <sz val="11"/>
      <color indexed="8"/>
      <name val="Times New Roman"/>
      <family val="1"/>
    </font>
    <font>
      <b/>
      <sz val="10"/>
      <color indexed="8"/>
      <name val="Times New Roman"/>
      <family val="1"/>
    </font>
    <font>
      <b/>
      <sz val="14"/>
      <color indexed="8"/>
      <name val="Times New Roman"/>
      <family val="1"/>
    </font>
    <font>
      <sz val="10"/>
      <color indexed="8"/>
      <name val="Times New Roman"/>
      <family val="1"/>
    </font>
    <font>
      <b/>
      <sz val="11"/>
      <color indexed="8"/>
      <name val="Times New Roman"/>
      <family val="1"/>
    </font>
    <font>
      <i/>
      <sz val="8"/>
      <color indexed="8"/>
      <name val="Times New Roman"/>
      <family val="1"/>
    </font>
    <font>
      <sz val="12"/>
      <color indexed="8"/>
      <name val="Times New Roman"/>
      <family val="1"/>
    </font>
    <font>
      <sz val="11"/>
      <color indexed="10"/>
      <name val="Times New Roman"/>
      <family val="1"/>
    </font>
    <font>
      <b/>
      <sz val="11"/>
      <color indexed="10"/>
      <name val="Times New Roman"/>
      <family val="1"/>
    </font>
    <font>
      <b/>
      <i/>
      <sz val="11"/>
      <color indexed="8"/>
      <name val="Times New Roman"/>
      <family val="1"/>
    </font>
    <font>
      <b/>
      <u/>
      <sz val="11"/>
      <color indexed="8"/>
      <name val="Times New Roman"/>
      <family val="1"/>
    </font>
    <font>
      <i/>
      <sz val="11"/>
      <color indexed="10"/>
      <name val="Times New Roman"/>
      <family val="1"/>
    </font>
    <font>
      <b/>
      <sz val="11"/>
      <color indexed="17"/>
      <name val="Times New Roman"/>
      <family val="1"/>
    </font>
    <font>
      <b/>
      <sz val="12"/>
      <color indexed="8"/>
      <name val="Times New Roman"/>
      <family val="1"/>
    </font>
    <font>
      <sz val="11"/>
      <color theme="0"/>
      <name val="Estrangelo Edessa"/>
      <family val="2"/>
      <scheme val="minor"/>
    </font>
    <font>
      <b/>
      <sz val="18"/>
      <color theme="3"/>
      <name val="Palatino Linotype"/>
      <family val="1"/>
    </font>
    <font>
      <sz val="10"/>
      <color theme="3"/>
      <name val="Palatino Linotype"/>
      <family val="1"/>
    </font>
    <font>
      <b/>
      <sz val="13"/>
      <name val="Palatino Linotype"/>
      <family val="1"/>
    </font>
    <font>
      <sz val="10"/>
      <name val="Palatino Linotype"/>
      <family val="1"/>
    </font>
    <font>
      <sz val="11"/>
      <name val="Palatino Linotype"/>
      <family val="1"/>
    </font>
    <font>
      <sz val="11"/>
      <color theme="1"/>
      <name val="Palatino Linotype"/>
      <family val="1"/>
    </font>
    <font>
      <sz val="11"/>
      <color indexed="8"/>
      <name val="Palatino Linotype"/>
      <family val="1"/>
    </font>
    <font>
      <b/>
      <sz val="10"/>
      <color indexed="8"/>
      <name val="Palatino Linotype"/>
      <family val="1"/>
    </font>
    <font>
      <b/>
      <sz val="11"/>
      <color indexed="8"/>
      <name val="Palatino Linotype"/>
      <family val="1"/>
    </font>
    <font>
      <sz val="10"/>
      <color indexed="8"/>
      <name val="Palatino Linotype"/>
      <family val="1"/>
    </font>
    <font>
      <i/>
      <sz val="8"/>
      <color indexed="8"/>
      <name val="Palatino Linotype"/>
      <family val="1"/>
    </font>
    <font>
      <b/>
      <sz val="13"/>
      <color theme="3"/>
      <name val="Palatino Linotype"/>
      <family val="1"/>
    </font>
    <font>
      <sz val="10"/>
      <color indexed="8"/>
      <name val="Arial"/>
      <family val="2"/>
    </font>
    <font>
      <sz val="10"/>
      <name val="Times New Roman"/>
      <family val="1"/>
    </font>
    <font>
      <b/>
      <sz val="11"/>
      <color theme="1"/>
      <name val="Palatino Linotype"/>
      <family val="1"/>
    </font>
    <font>
      <b/>
      <sz val="10"/>
      <color indexed="10"/>
      <name val="Palatino Linotype"/>
      <family val="1"/>
    </font>
    <font>
      <b/>
      <sz val="11"/>
      <name val="Palatino Linotype"/>
      <family val="1"/>
    </font>
    <font>
      <b/>
      <sz val="12"/>
      <name val="Palatino Linotype"/>
      <family val="1"/>
    </font>
    <font>
      <sz val="12"/>
      <name val="Palatino Linotype"/>
      <family val="1"/>
    </font>
    <font>
      <sz val="10"/>
      <color indexed="8"/>
      <name val="Arial"/>
      <family val="2"/>
    </font>
  </fonts>
  <fills count="7">
    <fill>
      <patternFill patternType="none"/>
    </fill>
    <fill>
      <patternFill patternType="gray125"/>
    </fill>
    <fill>
      <patternFill patternType="solid">
        <fgColor indexed="16"/>
        <bgColor indexed="8"/>
      </patternFill>
    </fill>
    <fill>
      <patternFill patternType="lightTrellis">
        <fgColor indexed="8"/>
        <bgColor indexed="9"/>
      </patternFill>
    </fill>
    <fill>
      <patternFill patternType="solid">
        <fgColor theme="4"/>
      </patternFill>
    </fill>
    <fill>
      <patternFill patternType="solid">
        <fgColor theme="4" tint="0.59999389629810485"/>
        <bgColor indexed="65"/>
      </patternFill>
    </fill>
    <fill>
      <patternFill patternType="solid">
        <fgColor theme="4" tint="0.59999389629810485"/>
        <bgColor indexed="64"/>
      </patternFill>
    </fill>
  </fills>
  <borders count="83">
    <border>
      <left/>
      <right/>
      <top/>
      <bottom/>
      <diagonal/>
    </border>
    <border>
      <left style="thin">
        <color indexed="8"/>
      </left>
      <right style="thin">
        <color indexed="8"/>
      </right>
      <top style="medium">
        <color indexed="8"/>
      </top>
      <bottom style="medium">
        <color indexed="8"/>
      </bottom>
      <diagonal/>
    </border>
    <border>
      <left style="thin">
        <color indexed="8"/>
      </left>
      <right/>
      <top style="medium">
        <color indexed="8"/>
      </top>
      <bottom style="medium">
        <color indexed="8"/>
      </bottom>
      <diagonal/>
    </border>
    <border>
      <left/>
      <right/>
      <top/>
      <bottom style="thin">
        <color indexed="8"/>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medium">
        <color indexed="8"/>
      </bottom>
      <diagonal/>
    </border>
    <border>
      <left style="thin">
        <color indexed="8"/>
      </left>
      <right/>
      <top/>
      <bottom/>
      <diagonal/>
    </border>
    <border>
      <left/>
      <right style="medium">
        <color indexed="8"/>
      </right>
      <top style="medium">
        <color indexed="8"/>
      </top>
      <bottom style="medium">
        <color indexed="8"/>
      </bottom>
      <diagonal/>
    </border>
    <border>
      <left style="medium">
        <color indexed="8"/>
      </left>
      <right style="medium">
        <color indexed="8"/>
      </right>
      <top style="medium">
        <color indexed="8"/>
      </top>
      <bottom style="medium">
        <color indexed="8"/>
      </bottom>
      <diagonal/>
    </border>
    <border>
      <left/>
      <right/>
      <top style="medium">
        <color indexed="8"/>
      </top>
      <bottom style="medium">
        <color indexed="8"/>
      </bottom>
      <diagonal/>
    </border>
    <border>
      <left style="thin">
        <color indexed="8"/>
      </left>
      <right style="medium">
        <color indexed="8"/>
      </right>
      <top style="medium">
        <color indexed="8"/>
      </top>
      <bottom style="medium">
        <color indexed="8"/>
      </bottom>
      <diagonal/>
    </border>
    <border>
      <left/>
      <right/>
      <top/>
      <bottom style="thin">
        <color indexed="10"/>
      </bottom>
      <diagonal/>
    </border>
    <border>
      <left/>
      <right/>
      <top style="thin">
        <color indexed="10"/>
      </top>
      <bottom style="thin">
        <color indexed="10"/>
      </bottom>
      <diagonal/>
    </border>
    <border>
      <left style="medium">
        <color indexed="8"/>
      </left>
      <right/>
      <top style="medium">
        <color indexed="8"/>
      </top>
      <bottom/>
      <diagonal/>
    </border>
    <border>
      <left/>
      <right/>
      <top style="medium">
        <color indexed="8"/>
      </top>
      <bottom/>
      <diagonal/>
    </border>
    <border>
      <left/>
      <right style="medium">
        <color indexed="8"/>
      </right>
      <top style="medium">
        <color indexed="8"/>
      </top>
      <bottom/>
      <diagonal/>
    </border>
    <border>
      <left style="medium">
        <color indexed="8"/>
      </left>
      <right/>
      <top/>
      <bottom/>
      <diagonal/>
    </border>
    <border>
      <left/>
      <right style="medium">
        <color indexed="8"/>
      </right>
      <top/>
      <bottom/>
      <diagonal/>
    </border>
    <border>
      <left style="medium">
        <color indexed="8"/>
      </left>
      <right/>
      <top style="thin">
        <color indexed="8"/>
      </top>
      <bottom style="thin">
        <color indexed="8"/>
      </bottom>
      <diagonal/>
    </border>
    <border>
      <left/>
      <right/>
      <top style="thin">
        <color indexed="8"/>
      </top>
      <bottom style="thin">
        <color indexed="8"/>
      </bottom>
      <diagonal/>
    </border>
    <border>
      <left/>
      <right style="medium">
        <color indexed="8"/>
      </right>
      <top style="thin">
        <color indexed="8"/>
      </top>
      <bottom style="thin">
        <color indexed="8"/>
      </bottom>
      <diagonal/>
    </border>
    <border>
      <left style="medium">
        <color indexed="8"/>
      </left>
      <right/>
      <top/>
      <bottom style="medium">
        <color indexed="8"/>
      </bottom>
      <diagonal/>
    </border>
    <border>
      <left/>
      <right/>
      <top/>
      <bottom style="medium">
        <color indexed="8"/>
      </bottom>
      <diagonal/>
    </border>
    <border>
      <left/>
      <right style="medium">
        <color indexed="8"/>
      </right>
      <top/>
      <bottom style="medium">
        <color indexed="8"/>
      </bottom>
      <diagonal/>
    </border>
    <border>
      <left style="medium">
        <color indexed="8"/>
      </left>
      <right/>
      <top/>
      <bottom style="thin">
        <color indexed="8"/>
      </bottom>
      <diagonal/>
    </border>
    <border>
      <left/>
      <right style="medium">
        <color indexed="8"/>
      </right>
      <top/>
      <bottom style="thin">
        <color indexed="8"/>
      </bottom>
      <diagonal/>
    </border>
    <border>
      <left style="medium">
        <color indexed="8"/>
      </left>
      <right/>
      <top style="thin">
        <color indexed="8"/>
      </top>
      <bottom/>
      <diagonal/>
    </border>
    <border>
      <left/>
      <right/>
      <top style="thin">
        <color indexed="8"/>
      </top>
      <bottom/>
      <diagonal/>
    </border>
    <border>
      <left/>
      <right style="medium">
        <color indexed="8"/>
      </right>
      <top style="thin">
        <color indexed="8"/>
      </top>
      <bottom/>
      <diagonal/>
    </border>
    <border>
      <left style="thin">
        <color indexed="64"/>
      </left>
      <right style="thin">
        <color indexed="64"/>
      </right>
      <top style="thin">
        <color indexed="64"/>
      </top>
      <bottom style="thin">
        <color indexed="64"/>
      </bottom>
      <diagonal/>
    </border>
    <border>
      <left/>
      <right style="thick">
        <color indexed="8"/>
      </right>
      <top/>
      <bottom/>
      <diagonal/>
    </border>
    <border>
      <left style="thin">
        <color indexed="64"/>
      </left>
      <right style="thick">
        <color indexed="8"/>
      </right>
      <top style="thin">
        <color indexed="64"/>
      </top>
      <bottom/>
      <diagonal/>
    </border>
    <border>
      <left/>
      <right/>
      <top/>
      <bottom style="thin">
        <color indexed="64"/>
      </bottom>
      <diagonal/>
    </border>
    <border>
      <left/>
      <right/>
      <top style="thin">
        <color indexed="64"/>
      </top>
      <bottom style="thick">
        <color indexed="8"/>
      </bottom>
      <diagonal/>
    </border>
    <border>
      <left/>
      <right/>
      <top style="thin">
        <color indexed="64"/>
      </top>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8"/>
      </left>
      <right/>
      <top style="thick">
        <color indexed="8"/>
      </top>
      <bottom style="thick">
        <color theme="3" tint="-0.24994659260841701"/>
      </bottom>
      <diagonal/>
    </border>
    <border>
      <left/>
      <right/>
      <top style="thick">
        <color indexed="8"/>
      </top>
      <bottom style="thick">
        <color theme="3" tint="-0.24994659260841701"/>
      </bottom>
      <diagonal/>
    </border>
    <border>
      <left/>
      <right style="thick">
        <color indexed="8"/>
      </right>
      <top style="thick">
        <color indexed="8"/>
      </top>
      <bottom style="thick">
        <color theme="3" tint="-0.2499465926084170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dashed">
        <color auto="1"/>
      </left>
      <right style="medium">
        <color indexed="64"/>
      </right>
      <top style="thin">
        <color indexed="64"/>
      </top>
      <bottom/>
      <diagonal/>
    </border>
    <border>
      <left style="dashed">
        <color auto="1"/>
      </left>
      <right style="medium">
        <color indexed="64"/>
      </right>
      <top style="thin">
        <color indexed="64"/>
      </top>
      <bottom style="thin">
        <color indexed="64"/>
      </bottom>
      <diagonal/>
    </border>
    <border>
      <left style="dashed">
        <color auto="1"/>
      </left>
      <right style="medium">
        <color indexed="64"/>
      </right>
      <top/>
      <bottom/>
      <diagonal/>
    </border>
    <border>
      <left style="dashed">
        <color auto="1"/>
      </left>
      <right style="medium">
        <color indexed="64"/>
      </right>
      <top/>
      <bottom style="thin">
        <color indexed="64"/>
      </bottom>
      <diagonal/>
    </border>
    <border>
      <left/>
      <right style="medium">
        <color auto="1"/>
      </right>
      <top style="thin">
        <color indexed="64"/>
      </top>
      <bottom style="thick">
        <color indexed="8"/>
      </bottom>
      <diagonal/>
    </border>
    <border>
      <left style="thick">
        <color indexed="8"/>
      </left>
      <right/>
      <top style="thick">
        <color theme="3" tint="-0.24994659260841701"/>
      </top>
      <bottom/>
      <diagonal/>
    </border>
    <border>
      <left style="thick">
        <color indexed="8"/>
      </left>
      <right/>
      <top/>
      <bottom style="thin">
        <color indexed="64"/>
      </bottom>
      <diagonal/>
    </border>
    <border>
      <left style="dashed">
        <color auto="1"/>
      </left>
      <right style="thick">
        <color indexed="8"/>
      </right>
      <top style="thin">
        <color indexed="64"/>
      </top>
      <bottom/>
      <diagonal/>
    </border>
    <border>
      <left style="dashed">
        <color auto="1"/>
      </left>
      <right style="thick">
        <color indexed="8"/>
      </right>
      <top style="thin">
        <color indexed="64"/>
      </top>
      <bottom style="thin">
        <color indexed="64"/>
      </bottom>
      <diagonal/>
    </border>
    <border>
      <left style="dashed">
        <color auto="1"/>
      </left>
      <right style="thick">
        <color indexed="8"/>
      </right>
      <top/>
      <bottom/>
      <diagonal/>
    </border>
    <border>
      <left style="dashed">
        <color auto="1"/>
      </left>
      <right style="thick">
        <color indexed="8"/>
      </right>
      <top/>
      <bottom style="thin">
        <color indexed="64"/>
      </bottom>
      <diagonal/>
    </border>
    <border>
      <left style="thick">
        <color indexed="8"/>
      </left>
      <right/>
      <top style="thin">
        <color indexed="64"/>
      </top>
      <bottom style="thin">
        <color indexed="64"/>
      </bottom>
      <diagonal/>
    </border>
    <border>
      <left style="thick">
        <color indexed="8"/>
      </left>
      <right/>
      <top style="thin">
        <color indexed="64"/>
      </top>
      <bottom style="thick">
        <color indexed="8"/>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ck">
        <color indexed="8"/>
      </bottom>
      <diagonal/>
    </border>
    <border>
      <left style="medium">
        <color indexed="64"/>
      </left>
      <right style="medium">
        <color indexed="64"/>
      </right>
      <top/>
      <bottom style="thin">
        <color indexed="8"/>
      </bottom>
      <diagonal/>
    </border>
    <border>
      <left/>
      <right style="medium">
        <color auto="1"/>
      </right>
      <top/>
      <bottom style="thin">
        <color indexed="64"/>
      </bottom>
      <diagonal/>
    </border>
    <border>
      <left/>
      <right style="thick">
        <color indexed="8"/>
      </right>
      <top/>
      <bottom style="thin">
        <color indexed="64"/>
      </bottom>
      <diagonal/>
    </border>
    <border>
      <left style="thick">
        <color indexed="8"/>
      </left>
      <right/>
      <top/>
      <bottom style="medium">
        <color indexed="8"/>
      </bottom>
      <diagonal/>
    </border>
    <border>
      <left/>
      <right style="thick">
        <color indexed="8"/>
      </right>
      <top/>
      <bottom style="medium">
        <color indexed="8"/>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top style="thick">
        <color theme="3" tint="-0.24994659260841701"/>
      </top>
      <bottom/>
      <diagonal/>
    </border>
    <border>
      <left/>
      <right style="thick">
        <color indexed="8"/>
      </right>
      <top style="thick">
        <color theme="3" tint="-0.24994659260841701"/>
      </top>
      <bottom/>
      <diagonal/>
    </border>
    <border>
      <left/>
      <right/>
      <top/>
      <bottom style="medium">
        <color auto="1"/>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thick">
        <color indexed="64"/>
      </right>
      <top style="thin">
        <color indexed="64"/>
      </top>
      <bottom style="thick">
        <color indexed="8"/>
      </bottom>
      <diagonal/>
    </border>
  </borders>
  <cellStyleXfs count="4">
    <xf numFmtId="0" fontId="0" fillId="0" borderId="0"/>
    <xf numFmtId="0" fontId="16" fillId="4" borderId="0" applyNumberFormat="0" applyBorder="0" applyAlignment="0" applyProtection="0"/>
    <xf numFmtId="0" fontId="1" fillId="5" borderId="0" applyNumberFormat="0" applyBorder="0" applyAlignment="0" applyProtection="0"/>
    <xf numFmtId="0" fontId="36" fillId="0" borderId="0">
      <alignment vertical="top"/>
    </xf>
  </cellStyleXfs>
  <cellXfs count="224">
    <xf numFmtId="0" fontId="0" fillId="0" borderId="0" xfId="0"/>
    <xf numFmtId="4" fontId="2" fillId="0" borderId="0" xfId="0" applyNumberFormat="1" applyFont="1" applyFill="1" applyBorder="1" applyAlignment="1" applyProtection="1"/>
    <xf numFmtId="4" fontId="3" fillId="0" borderId="0" xfId="0" applyNumberFormat="1" applyFont="1" applyFill="1" applyBorder="1" applyAlignment="1" applyProtection="1">
      <alignment horizontal="center" wrapText="1"/>
    </xf>
    <xf numFmtId="4" fontId="5" fillId="2" borderId="0" xfId="0" applyNumberFormat="1" applyFont="1" applyFill="1" applyBorder="1" applyAlignment="1" applyProtection="1">
      <alignment horizontal="left" vertical="top" wrapText="1"/>
    </xf>
    <xf numFmtId="4" fontId="5" fillId="0" borderId="0" xfId="0" applyNumberFormat="1" applyFont="1" applyFill="1" applyBorder="1" applyAlignment="1" applyProtection="1">
      <alignment horizontal="center" vertical="top" wrapText="1"/>
    </xf>
    <xf numFmtId="4" fontId="5" fillId="2" borderId="0" xfId="0" applyNumberFormat="1" applyFont="1" applyFill="1" applyBorder="1" applyAlignment="1" applyProtection="1">
      <alignment horizontal="left" vertical="top"/>
    </xf>
    <xf numFmtId="4" fontId="2" fillId="2" borderId="0" xfId="0" applyNumberFormat="1" applyFont="1" applyFill="1" applyBorder="1" applyAlignment="1" applyProtection="1">
      <alignment horizontal="left"/>
    </xf>
    <xf numFmtId="4" fontId="2" fillId="0" borderId="0" xfId="0" applyNumberFormat="1" applyFont="1" applyFill="1" applyBorder="1" applyAlignment="1" applyProtection="1">
      <alignment horizontal="left"/>
    </xf>
    <xf numFmtId="4" fontId="2" fillId="0" borderId="0" xfId="0" applyNumberFormat="1" applyFont="1" applyFill="1" applyBorder="1" applyAlignment="1" applyProtection="1">
      <alignment wrapText="1"/>
    </xf>
    <xf numFmtId="4" fontId="5" fillId="0" borderId="0" xfId="0" applyNumberFormat="1" applyFont="1" applyFill="1" applyBorder="1" applyAlignment="1" applyProtection="1">
      <alignment wrapText="1"/>
    </xf>
    <xf numFmtId="4" fontId="5" fillId="0" borderId="1" xfId="0" applyNumberFormat="1" applyFont="1" applyFill="1" applyBorder="1" applyAlignment="1" applyProtection="1">
      <alignment vertical="top" wrapText="1"/>
    </xf>
    <xf numFmtId="3" fontId="5" fillId="2" borderId="2" xfId="0" applyNumberFormat="1" applyFont="1" applyFill="1" applyBorder="1" applyAlignment="1" applyProtection="1">
      <alignment horizontal="right" vertical="center" wrapText="1"/>
    </xf>
    <xf numFmtId="4" fontId="5" fillId="0" borderId="0" xfId="0" applyNumberFormat="1" applyFont="1" applyFill="1" applyBorder="1" applyAlignment="1" applyProtection="1">
      <alignment vertical="center" wrapText="1"/>
    </xf>
    <xf numFmtId="4" fontId="6" fillId="0" borderId="0" xfId="0" applyNumberFormat="1" applyFont="1" applyFill="1" applyBorder="1" applyAlignment="1" applyProtection="1">
      <alignment horizontal="center" vertical="center"/>
    </xf>
    <xf numFmtId="4" fontId="2" fillId="0" borderId="0" xfId="0" applyNumberFormat="1" applyFont="1" applyFill="1" applyBorder="1" applyAlignment="1" applyProtection="1">
      <alignment vertical="center"/>
    </xf>
    <xf numFmtId="4" fontId="7" fillId="0" borderId="0" xfId="0" applyNumberFormat="1" applyFont="1" applyFill="1" applyBorder="1" applyAlignment="1" applyProtection="1">
      <alignment vertical="top" wrapText="1"/>
    </xf>
    <xf numFmtId="4" fontId="5" fillId="0" borderId="0" xfId="0" applyNumberFormat="1" applyFont="1" applyFill="1" applyBorder="1" applyAlignment="1" applyProtection="1">
      <alignment vertical="top" wrapText="1"/>
    </xf>
    <xf numFmtId="4" fontId="8" fillId="0" borderId="0" xfId="0" applyNumberFormat="1" applyFont="1" applyFill="1" applyBorder="1" applyAlignment="1" applyProtection="1"/>
    <xf numFmtId="164" fontId="2" fillId="0" borderId="0" xfId="0" applyNumberFormat="1" applyFont="1" applyFill="1" applyBorder="1" applyAlignment="1" applyProtection="1"/>
    <xf numFmtId="2" fontId="2" fillId="0" borderId="0" xfId="0" applyNumberFormat="1" applyFont="1" applyFill="1" applyBorder="1" applyAlignment="1" applyProtection="1"/>
    <xf numFmtId="4" fontId="3" fillId="0" borderId="0" xfId="0" applyNumberFormat="1" applyFont="1" applyFill="1" applyBorder="1" applyAlignment="1" applyProtection="1">
      <alignment vertical="center" wrapText="1"/>
    </xf>
    <xf numFmtId="4" fontId="2" fillId="0" borderId="0" xfId="0" applyNumberFormat="1" applyFont="1" applyFill="1" applyBorder="1" applyAlignment="1" applyProtection="1">
      <protection hidden="1"/>
    </xf>
    <xf numFmtId="4" fontId="5" fillId="0" borderId="0" xfId="0" applyNumberFormat="1" applyFont="1" applyFill="1" applyBorder="1" applyAlignment="1" applyProtection="1">
      <alignment vertical="top"/>
    </xf>
    <xf numFmtId="4" fontId="5" fillId="0" borderId="3" xfId="0" applyNumberFormat="1" applyFont="1" applyFill="1" applyBorder="1" applyAlignment="1" applyProtection="1">
      <alignment horizontal="left" vertical="top" wrapText="1"/>
    </xf>
    <xf numFmtId="4" fontId="5" fillId="0" borderId="4" xfId="0" applyNumberFormat="1" applyFont="1" applyFill="1" applyBorder="1" applyAlignment="1" applyProtection="1">
      <alignment horizontal="centerContinuous" vertical="top" wrapText="1"/>
    </xf>
    <xf numFmtId="4" fontId="5" fillId="0" borderId="5" xfId="0" applyNumberFormat="1" applyFont="1" applyFill="1" applyBorder="1" applyAlignment="1" applyProtection="1">
      <alignment horizontal="center" vertical="top" wrapText="1"/>
    </xf>
    <xf numFmtId="0" fontId="5" fillId="0" borderId="5" xfId="0" applyNumberFormat="1" applyFont="1" applyFill="1" applyBorder="1" applyAlignment="1" applyProtection="1">
      <alignment horizontal="center" vertical="top" wrapText="1"/>
    </xf>
    <xf numFmtId="4" fontId="6" fillId="0" borderId="5" xfId="0" applyNumberFormat="1" applyFont="1" applyFill="1" applyBorder="1" applyAlignment="1" applyProtection="1">
      <alignment horizontal="center" vertical="top" wrapText="1"/>
    </xf>
    <xf numFmtId="4" fontId="5" fillId="0" borderId="4" xfId="0" applyNumberFormat="1" applyFont="1" applyFill="1" applyBorder="1" applyAlignment="1" applyProtection="1">
      <alignment horizontal="center" vertical="top" wrapText="1"/>
    </xf>
    <xf numFmtId="4" fontId="2" fillId="0" borderId="6" xfId="0" applyNumberFormat="1" applyFont="1" applyFill="1" applyBorder="1" applyAlignment="1" applyProtection="1">
      <alignment horizontal="center"/>
      <protection hidden="1"/>
    </xf>
    <xf numFmtId="164" fontId="2" fillId="0" borderId="0" xfId="0" applyNumberFormat="1" applyFont="1" applyFill="1" applyBorder="1" applyAlignment="1" applyProtection="1">
      <protection hidden="1"/>
    </xf>
    <xf numFmtId="2" fontId="2" fillId="0" borderId="0" xfId="0" applyNumberFormat="1" applyFont="1" applyFill="1" applyBorder="1" applyAlignment="1" applyProtection="1">
      <protection hidden="1"/>
    </xf>
    <xf numFmtId="4" fontId="2" fillId="0" borderId="1" xfId="0" applyNumberFormat="1" applyFont="1" applyFill="1" applyBorder="1" applyAlignment="1" applyProtection="1">
      <alignment vertical="center" wrapText="1"/>
    </xf>
    <xf numFmtId="165" fontId="2" fillId="0" borderId="1" xfId="0" applyNumberFormat="1" applyFont="1" applyFill="1" applyBorder="1" applyAlignment="1" applyProtection="1">
      <alignment horizontal="center" vertical="center" wrapText="1"/>
    </xf>
    <xf numFmtId="4" fontId="2" fillId="0" borderId="1" xfId="0" applyNumberFormat="1" applyFont="1" applyFill="1" applyBorder="1" applyAlignment="1" applyProtection="1">
      <alignment horizontal="right" vertical="center"/>
    </xf>
    <xf numFmtId="4" fontId="2" fillId="3" borderId="1" xfId="0" applyNumberFormat="1" applyFont="1" applyFill="1" applyBorder="1" applyAlignment="1" applyProtection="1">
      <alignment horizontal="center" vertical="center"/>
    </xf>
    <xf numFmtId="4" fontId="2" fillId="3" borderId="7" xfId="0" applyNumberFormat="1" applyFont="1" applyFill="1" applyBorder="1" applyAlignment="1" applyProtection="1">
      <alignment horizontal="center" vertical="center"/>
    </xf>
    <xf numFmtId="4" fontId="2" fillId="3" borderId="8" xfId="0" applyNumberFormat="1" applyFont="1" applyFill="1" applyBorder="1" applyAlignment="1" applyProtection="1">
      <alignment horizontal="center" vertical="center"/>
    </xf>
    <xf numFmtId="4" fontId="2" fillId="3" borderId="9" xfId="0" applyNumberFormat="1" applyFont="1" applyFill="1" applyBorder="1" applyAlignment="1" applyProtection="1">
      <alignment horizontal="center" vertical="center"/>
    </xf>
    <xf numFmtId="4" fontId="2" fillId="0" borderId="1" xfId="0" applyNumberFormat="1" applyFont="1" applyFill="1" applyBorder="1" applyAlignment="1" applyProtection="1">
      <alignment horizontal="center" vertical="center"/>
    </xf>
    <xf numFmtId="4" fontId="2" fillId="0" borderId="9" xfId="0" applyNumberFormat="1" applyFont="1" applyFill="1" applyBorder="1" applyAlignment="1" applyProtection="1">
      <alignment horizontal="center" vertical="center"/>
    </xf>
    <xf numFmtId="4" fontId="2" fillId="0" borderId="10" xfId="0" applyNumberFormat="1" applyFont="1" applyFill="1" applyBorder="1" applyAlignment="1" applyProtection="1">
      <alignment horizontal="center" vertical="center"/>
    </xf>
    <xf numFmtId="165" fontId="2" fillId="0" borderId="0" xfId="0" applyNumberFormat="1" applyFont="1" applyFill="1" applyBorder="1" applyAlignment="1" applyProtection="1">
      <protection hidden="1"/>
    </xf>
    <xf numFmtId="4" fontId="7" fillId="0" borderId="0" xfId="0" applyNumberFormat="1" applyFont="1" applyFill="1" applyBorder="1" applyAlignment="1" applyProtection="1">
      <alignment horizontal="left" vertical="top"/>
    </xf>
    <xf numFmtId="4" fontId="8" fillId="0" borderId="0" xfId="0" applyNumberFormat="1" applyFont="1" applyFill="1" applyBorder="1" applyAlignment="1" applyProtection="1">
      <alignment horizontal="center" vertical="top"/>
    </xf>
    <xf numFmtId="4" fontId="10" fillId="0" borderId="0" xfId="0" applyNumberFormat="1" applyFont="1" applyFill="1" applyBorder="1" applyAlignment="1" applyProtection="1"/>
    <xf numFmtId="4" fontId="11" fillId="0" borderId="0" xfId="0" applyNumberFormat="1" applyFont="1" applyFill="1" applyBorder="1" applyAlignment="1" applyProtection="1"/>
    <xf numFmtId="4" fontId="12" fillId="0" borderId="0" xfId="0" applyNumberFormat="1" applyFont="1" applyFill="1" applyBorder="1" applyAlignment="1" applyProtection="1"/>
    <xf numFmtId="4" fontId="6" fillId="0" borderId="0" xfId="0" applyNumberFormat="1" applyFont="1" applyFill="1" applyBorder="1" applyAlignment="1" applyProtection="1"/>
    <xf numFmtId="4" fontId="2" fillId="0" borderId="0" xfId="0" applyNumberFormat="1" applyFont="1" applyFill="1" applyBorder="1" applyAlignment="1" applyProtection="1">
      <alignment wrapText="1"/>
      <protection hidden="1"/>
    </xf>
    <xf numFmtId="4" fontId="5" fillId="0" borderId="11" xfId="0" applyNumberFormat="1" applyFont="1" applyFill="1" applyBorder="1" applyAlignment="1" applyProtection="1"/>
    <xf numFmtId="4" fontId="2" fillId="0" borderId="11" xfId="0" applyNumberFormat="1" applyFont="1" applyFill="1" applyBorder="1" applyAlignment="1" applyProtection="1"/>
    <xf numFmtId="4" fontId="5" fillId="0" borderId="12" xfId="0" applyNumberFormat="1" applyFont="1" applyFill="1" applyBorder="1" applyAlignment="1" applyProtection="1"/>
    <xf numFmtId="4" fontId="2" fillId="0" borderId="12" xfId="0" applyNumberFormat="1" applyFont="1" applyFill="1" applyBorder="1" applyAlignment="1" applyProtection="1"/>
    <xf numFmtId="4" fontId="6" fillId="0" borderId="0" xfId="0" applyNumberFormat="1" applyFont="1" applyFill="1" applyBorder="1" applyAlignment="1" applyProtection="1">
      <alignment wrapText="1"/>
      <protection hidden="1"/>
    </xf>
    <xf numFmtId="4" fontId="6" fillId="0" borderId="0" xfId="0" applyNumberFormat="1" applyFont="1" applyFill="1" applyBorder="1" applyAlignment="1" applyProtection="1">
      <alignment horizontal="right" wrapText="1"/>
      <protection hidden="1"/>
    </xf>
    <xf numFmtId="165" fontId="2" fillId="0" borderId="0" xfId="0" applyNumberFormat="1" applyFont="1" applyFill="1" applyBorder="1" applyAlignment="1" applyProtection="1">
      <alignment wrapText="1"/>
      <protection hidden="1"/>
    </xf>
    <xf numFmtId="3" fontId="2" fillId="0" borderId="0" xfId="0" applyNumberFormat="1" applyFont="1" applyFill="1" applyBorder="1" applyAlignment="1" applyProtection="1"/>
    <xf numFmtId="3" fontId="2" fillId="0" borderId="0" xfId="0" applyNumberFormat="1" applyFont="1" applyFill="1" applyBorder="1" applyAlignment="1" applyProtection="1">
      <alignment wrapText="1"/>
      <protection hidden="1"/>
    </xf>
    <xf numFmtId="4" fontId="13" fillId="0" borderId="0" xfId="0" applyNumberFormat="1" applyFont="1" applyFill="1" applyBorder="1" applyAlignment="1" applyProtection="1"/>
    <xf numFmtId="4" fontId="9" fillId="0" borderId="0" xfId="0" applyNumberFormat="1" applyFont="1" applyFill="1" applyBorder="1" applyAlignment="1" applyProtection="1"/>
    <xf numFmtId="4" fontId="14" fillId="0" borderId="0" xfId="0" applyNumberFormat="1" applyFont="1" applyFill="1" applyBorder="1" applyAlignment="1" applyProtection="1"/>
    <xf numFmtId="4" fontId="2" fillId="0" borderId="0" xfId="0" applyNumberFormat="1" applyFont="1" applyFill="1" applyBorder="1" applyAlignment="1" applyProtection="1">
      <alignment vertical="top" wrapText="1"/>
    </xf>
    <xf numFmtId="4" fontId="6" fillId="0" borderId="13" xfId="0" applyNumberFormat="1" applyFont="1" applyFill="1" applyBorder="1" applyAlignment="1" applyProtection="1"/>
    <xf numFmtId="4" fontId="2" fillId="0" borderId="14" xfId="0" applyNumberFormat="1" applyFont="1" applyFill="1" applyBorder="1" applyAlignment="1" applyProtection="1"/>
    <xf numFmtId="4" fontId="2" fillId="0" borderId="15" xfId="0" applyNumberFormat="1" applyFont="1" applyFill="1" applyBorder="1" applyAlignment="1" applyProtection="1"/>
    <xf numFmtId="4" fontId="2" fillId="0" borderId="16" xfId="0" applyNumberFormat="1" applyFont="1" applyFill="1" applyBorder="1" applyAlignment="1" applyProtection="1"/>
    <xf numFmtId="4" fontId="2" fillId="0" borderId="17" xfId="0" applyNumberFormat="1" applyFont="1" applyFill="1" applyBorder="1" applyAlignment="1" applyProtection="1"/>
    <xf numFmtId="4" fontId="2" fillId="0" borderId="18" xfId="0" applyNumberFormat="1" applyFont="1" applyFill="1" applyBorder="1" applyAlignment="1" applyProtection="1">
      <alignment wrapText="1"/>
    </xf>
    <xf numFmtId="4" fontId="2" fillId="0" borderId="19" xfId="0" applyNumberFormat="1" applyFont="1" applyFill="1" applyBorder="1" applyAlignment="1" applyProtection="1">
      <alignment wrapText="1"/>
    </xf>
    <xf numFmtId="4" fontId="2" fillId="0" borderId="20" xfId="0" applyNumberFormat="1" applyFont="1" applyFill="1" applyBorder="1" applyAlignment="1" applyProtection="1">
      <alignment wrapText="1"/>
    </xf>
    <xf numFmtId="4" fontId="5" fillId="0" borderId="18" xfId="0" applyNumberFormat="1" applyFont="1" applyFill="1" applyBorder="1" applyAlignment="1" applyProtection="1">
      <alignment vertical="top" wrapText="1"/>
    </xf>
    <xf numFmtId="4" fontId="2" fillId="0" borderId="19" xfId="0" applyNumberFormat="1" applyFont="1" applyFill="1" applyBorder="1" applyAlignment="1" applyProtection="1">
      <alignment horizontal="center" vertical="center"/>
    </xf>
    <xf numFmtId="4" fontId="2" fillId="0" borderId="20" xfId="0" applyNumberFormat="1" applyFont="1" applyFill="1" applyBorder="1" applyAlignment="1" applyProtection="1">
      <alignment horizontal="center" vertical="center"/>
    </xf>
    <xf numFmtId="4" fontId="3" fillId="0" borderId="16" xfId="0" applyNumberFormat="1" applyFont="1" applyFill="1" applyBorder="1" applyAlignment="1" applyProtection="1">
      <alignment vertical="top" wrapText="1"/>
    </xf>
    <xf numFmtId="4" fontId="6" fillId="0" borderId="0" xfId="0" applyNumberFormat="1" applyFont="1" applyFill="1" applyBorder="1" applyAlignment="1" applyProtection="1">
      <alignment horizontal="center"/>
    </xf>
    <xf numFmtId="4" fontId="7" fillId="0" borderId="21" xfId="0" applyNumberFormat="1" applyFont="1" applyFill="1" applyBorder="1" applyAlignment="1" applyProtection="1">
      <alignment vertical="top" wrapText="1"/>
    </xf>
    <xf numFmtId="4" fontId="2" fillId="0" borderId="22" xfId="0" applyNumberFormat="1" applyFont="1" applyFill="1" applyBorder="1" applyAlignment="1" applyProtection="1"/>
    <xf numFmtId="4" fontId="2" fillId="0" borderId="23" xfId="0" applyNumberFormat="1" applyFont="1" applyFill="1" applyBorder="1" applyAlignment="1" applyProtection="1"/>
    <xf numFmtId="4" fontId="6" fillId="0" borderId="16" xfId="0" applyNumberFormat="1" applyFont="1" applyFill="1" applyBorder="1" applyAlignment="1" applyProtection="1">
      <alignment vertical="top" wrapText="1"/>
    </xf>
    <xf numFmtId="4" fontId="2" fillId="0" borderId="16" xfId="0" applyNumberFormat="1" applyFont="1" applyFill="1" applyBorder="1" applyAlignment="1" applyProtection="1">
      <alignment vertical="top" wrapText="1"/>
    </xf>
    <xf numFmtId="4" fontId="2" fillId="0" borderId="24" xfId="0" applyNumberFormat="1" applyFont="1" applyFill="1" applyBorder="1" applyAlignment="1" applyProtection="1">
      <alignment vertical="top"/>
    </xf>
    <xf numFmtId="4" fontId="2" fillId="0" borderId="3" xfId="0" applyNumberFormat="1" applyFont="1" applyFill="1" applyBorder="1" applyAlignment="1" applyProtection="1"/>
    <xf numFmtId="4" fontId="2" fillId="0" borderId="25" xfId="0" applyNumberFormat="1" applyFont="1" applyFill="1" applyBorder="1" applyAlignment="1" applyProtection="1"/>
    <xf numFmtId="4" fontId="2" fillId="0" borderId="17" xfId="0" applyNumberFormat="1" applyFont="1" applyFill="1" applyBorder="1" applyAlignment="1" applyProtection="1">
      <alignment wrapText="1"/>
    </xf>
    <xf numFmtId="4" fontId="3" fillId="0" borderId="26" xfId="0" applyNumberFormat="1" applyFont="1" applyFill="1" applyBorder="1" applyAlignment="1" applyProtection="1">
      <alignment vertical="top" wrapText="1"/>
    </xf>
    <xf numFmtId="4" fontId="6" fillId="0" borderId="27" xfId="0" applyNumberFormat="1" applyFont="1" applyFill="1" applyBorder="1" applyAlignment="1" applyProtection="1"/>
    <xf numFmtId="4" fontId="6" fillId="0" borderId="27" xfId="0" applyNumberFormat="1" applyFont="1" applyFill="1" applyBorder="1" applyAlignment="1" applyProtection="1">
      <alignment horizontal="center" vertical="center"/>
    </xf>
    <xf numFmtId="4" fontId="2" fillId="0" borderId="28" xfId="0" applyNumberFormat="1" applyFont="1" applyFill="1" applyBorder="1" applyAlignment="1" applyProtection="1"/>
    <xf numFmtId="4" fontId="15" fillId="0" borderId="0" xfId="0" applyNumberFormat="1" applyFont="1" applyFill="1" applyBorder="1" applyAlignment="1" applyProtection="1">
      <alignment horizontal="left"/>
    </xf>
    <xf numFmtId="4" fontId="8" fillId="0" borderId="0" xfId="0" applyNumberFormat="1" applyFont="1" applyFill="1" applyBorder="1" applyAlignment="1" applyProtection="1">
      <alignment horizontal="left"/>
    </xf>
    <xf numFmtId="3" fontId="5" fillId="0" borderId="1" xfId="0" applyNumberFormat="1" applyFont="1" applyFill="1" applyBorder="1" applyAlignment="1" applyProtection="1">
      <alignment horizontal="right" vertical="center" wrapText="1"/>
    </xf>
    <xf numFmtId="3" fontId="5" fillId="2" borderId="10" xfId="0" applyNumberFormat="1" applyFont="1" applyFill="1" applyBorder="1" applyAlignment="1" applyProtection="1">
      <alignment horizontal="right" vertical="center" wrapText="1"/>
    </xf>
    <xf numFmtId="4" fontId="2" fillId="0" borderId="0" xfId="0" applyNumberFormat="1" applyFont="1" applyFill="1" applyBorder="1" applyAlignment="1" applyProtection="1">
      <alignment wrapText="1"/>
    </xf>
    <xf numFmtId="4" fontId="23" fillId="0" borderId="0" xfId="0" applyNumberFormat="1" applyFont="1" applyFill="1" applyBorder="1" applyAlignment="1" applyProtection="1"/>
    <xf numFmtId="4" fontId="27" fillId="0" borderId="0" xfId="0" applyNumberFormat="1" applyFont="1" applyFill="1" applyBorder="1" applyAlignment="1" applyProtection="1">
      <alignment vertical="top" wrapText="1"/>
    </xf>
    <xf numFmtId="4" fontId="19" fillId="0" borderId="0" xfId="1" applyNumberFormat="1" applyFont="1" applyFill="1" applyBorder="1" applyAlignment="1" applyProtection="1">
      <alignment wrapText="1"/>
    </xf>
    <xf numFmtId="4" fontId="0" fillId="0" borderId="0" xfId="0" applyNumberFormat="1"/>
    <xf numFmtId="4" fontId="19" fillId="0" borderId="58" xfId="1" applyNumberFormat="1" applyFont="1" applyFill="1" applyBorder="1" applyAlignment="1" applyProtection="1">
      <alignment wrapText="1"/>
    </xf>
    <xf numFmtId="4" fontId="24" fillId="6" borderId="68" xfId="0" applyNumberFormat="1" applyFont="1" applyFill="1" applyBorder="1" applyAlignment="1" applyProtection="1">
      <alignment horizontal="center" vertical="top" wrapText="1"/>
    </xf>
    <xf numFmtId="0" fontId="21" fillId="4" borderId="59" xfId="1" applyFont="1" applyBorder="1"/>
    <xf numFmtId="4" fontId="19" fillId="4" borderId="69" xfId="1" applyNumberFormat="1" applyFont="1" applyBorder="1" applyAlignment="1" applyProtection="1">
      <alignment wrapText="1"/>
    </xf>
    <xf numFmtId="4" fontId="19" fillId="0" borderId="72" xfId="1" applyNumberFormat="1" applyFont="1" applyFill="1" applyBorder="1" applyAlignment="1" applyProtection="1">
      <alignment wrapText="1"/>
    </xf>
    <xf numFmtId="4" fontId="19" fillId="0" borderId="22" xfId="1" applyNumberFormat="1" applyFont="1" applyFill="1" applyBorder="1" applyAlignment="1" applyProtection="1">
      <alignment wrapText="1"/>
    </xf>
    <xf numFmtId="3" fontId="22" fillId="5" borderId="67" xfId="2" applyNumberFormat="1" applyFont="1" applyBorder="1" applyAlignment="1">
      <alignment horizontal="right"/>
    </xf>
    <xf numFmtId="3" fontId="22" fillId="5" borderId="34" xfId="2" applyNumberFormat="1" applyFont="1" applyBorder="1" applyAlignment="1">
      <alignment horizontal="right"/>
    </xf>
    <xf numFmtId="4" fontId="23" fillId="6" borderId="53" xfId="0" applyNumberFormat="1" applyFont="1" applyFill="1" applyBorder="1" applyAlignment="1" applyProtection="1">
      <alignment horizontal="right"/>
    </xf>
    <xf numFmtId="3" fontId="23" fillId="6" borderId="34" xfId="0" applyNumberFormat="1" applyFont="1" applyFill="1" applyBorder="1" applyAlignment="1" applyProtection="1">
      <alignment horizontal="right"/>
    </xf>
    <xf numFmtId="4" fontId="23" fillId="6" borderId="60" xfId="0" applyNumberFormat="1" applyFont="1" applyFill="1" applyBorder="1" applyAlignment="1" applyProtection="1">
      <alignment horizontal="right"/>
    </xf>
    <xf numFmtId="3" fontId="22" fillId="5" borderId="35" xfId="2" applyNumberFormat="1" applyFont="1" applyBorder="1" applyAlignment="1">
      <alignment horizontal="right"/>
    </xf>
    <xf numFmtId="4" fontId="23" fillId="6" borderId="54" xfId="0" applyNumberFormat="1" applyFont="1" applyFill="1" applyBorder="1" applyAlignment="1" applyProtection="1">
      <alignment horizontal="right"/>
    </xf>
    <xf numFmtId="3" fontId="23" fillId="6" borderId="35" xfId="0" applyNumberFormat="1" applyFont="1" applyFill="1" applyBorder="1" applyAlignment="1" applyProtection="1">
      <alignment horizontal="right"/>
    </xf>
    <xf numFmtId="4" fontId="23" fillId="6" borderId="61" xfId="0" applyNumberFormat="1" applyFont="1" applyFill="1" applyBorder="1" applyAlignment="1" applyProtection="1">
      <alignment horizontal="right"/>
    </xf>
    <xf numFmtId="3" fontId="22" fillId="5" borderId="0" xfId="2" applyNumberFormat="1" applyFont="1" applyBorder="1" applyAlignment="1">
      <alignment horizontal="right"/>
    </xf>
    <xf numFmtId="4" fontId="23" fillId="6" borderId="55" xfId="0" applyNumberFormat="1" applyFont="1" applyFill="1" applyBorder="1" applyAlignment="1" applyProtection="1">
      <alignment horizontal="right"/>
    </xf>
    <xf numFmtId="3" fontId="23" fillId="6" borderId="0" xfId="0" applyNumberFormat="1" applyFont="1" applyFill="1" applyBorder="1" applyAlignment="1" applyProtection="1">
      <alignment horizontal="right"/>
    </xf>
    <xf numFmtId="4" fontId="23" fillId="6" borderId="62" xfId="0" applyNumberFormat="1" applyFont="1" applyFill="1" applyBorder="1" applyAlignment="1" applyProtection="1">
      <alignment horizontal="right"/>
    </xf>
    <xf numFmtId="3" fontId="22" fillId="5" borderId="32" xfId="2" applyNumberFormat="1" applyFont="1" applyBorder="1" applyAlignment="1">
      <alignment horizontal="right"/>
    </xf>
    <xf numFmtId="4" fontId="23" fillId="6" borderId="56" xfId="0" applyNumberFormat="1" applyFont="1" applyFill="1" applyBorder="1" applyAlignment="1" applyProtection="1">
      <alignment horizontal="right"/>
    </xf>
    <xf numFmtId="3" fontId="23" fillId="6" borderId="32" xfId="0" applyNumberFormat="1" applyFont="1" applyFill="1" applyBorder="1" applyAlignment="1" applyProtection="1">
      <alignment horizontal="right"/>
    </xf>
    <xf numFmtId="4" fontId="23" fillId="6" borderId="63" xfId="0" applyNumberFormat="1" applyFont="1" applyFill="1" applyBorder="1" applyAlignment="1" applyProtection="1">
      <alignment horizontal="right"/>
    </xf>
    <xf numFmtId="4" fontId="19" fillId="0" borderId="22" xfId="1" applyNumberFormat="1" applyFont="1" applyFill="1" applyBorder="1" applyAlignment="1" applyProtection="1">
      <alignment wrapText="1"/>
    </xf>
    <xf numFmtId="4" fontId="19" fillId="0" borderId="0" xfId="1" applyNumberFormat="1" applyFont="1" applyFill="1" applyBorder="1" applyAlignment="1" applyProtection="1">
      <alignment wrapText="1"/>
    </xf>
    <xf numFmtId="4" fontId="2" fillId="0" borderId="0" xfId="0" applyNumberFormat="1" applyFont="1" applyFill="1" applyBorder="1" applyAlignment="1" applyProtection="1">
      <alignment wrapText="1"/>
    </xf>
    <xf numFmtId="4" fontId="2" fillId="0" borderId="79" xfId="0" applyNumberFormat="1" applyFont="1" applyFill="1" applyBorder="1" applyAlignment="1" applyProtection="1"/>
    <xf numFmtId="0" fontId="22" fillId="4" borderId="64" xfId="1" applyFont="1" applyBorder="1"/>
    <xf numFmtId="0" fontId="22" fillId="4" borderId="66" xfId="1" applyFont="1" applyBorder="1" applyAlignment="1">
      <alignment horizontal="center"/>
    </xf>
    <xf numFmtId="0" fontId="22" fillId="4" borderId="51" xfId="1" applyFont="1" applyBorder="1" applyAlignment="1">
      <alignment horizontal="center"/>
    </xf>
    <xf numFmtId="0" fontId="22" fillId="4" borderId="52" xfId="1" applyFont="1" applyBorder="1" applyAlignment="1">
      <alignment horizontal="center"/>
    </xf>
    <xf numFmtId="0" fontId="22" fillId="4" borderId="31" xfId="1" applyFont="1" applyBorder="1" applyAlignment="1">
      <alignment horizontal="center"/>
    </xf>
    <xf numFmtId="0" fontId="22" fillId="4" borderId="64" xfId="1" applyFont="1" applyBorder="1" applyAlignment="1">
      <alignment wrapText="1"/>
    </xf>
    <xf numFmtId="0" fontId="22" fillId="4" borderId="65" xfId="1" applyFont="1" applyBorder="1"/>
    <xf numFmtId="4" fontId="29" fillId="0" borderId="0" xfId="0" applyNumberFormat="1" applyFont="1"/>
    <xf numFmtId="4" fontId="25" fillId="6" borderId="33" xfId="0" applyNumberFormat="1" applyFont="1" applyFill="1" applyBorder="1" applyAlignment="1" applyProtection="1">
      <alignment horizontal="center"/>
    </xf>
    <xf numFmtId="4" fontId="28" fillId="4" borderId="43" xfId="1" applyNumberFormat="1" applyFont="1" applyBorder="1" applyAlignment="1" applyProtection="1">
      <alignment horizontal="center" wrapText="1"/>
    </xf>
    <xf numFmtId="4" fontId="2" fillId="0" borderId="0" xfId="0" applyNumberFormat="1" applyFont="1" applyFill="1" applyBorder="1" applyAlignment="1" applyProtection="1">
      <alignment wrapText="1"/>
    </xf>
    <xf numFmtId="4" fontId="28" fillId="4" borderId="44" xfId="1" applyNumberFormat="1" applyFont="1" applyBorder="1" applyAlignment="1" applyProtection="1">
      <alignment horizontal="center" wrapText="1"/>
    </xf>
    <xf numFmtId="4" fontId="28" fillId="4" borderId="45" xfId="1" applyNumberFormat="1" applyFont="1" applyBorder="1" applyAlignment="1" applyProtection="1">
      <alignment horizontal="center" wrapText="1"/>
    </xf>
    <xf numFmtId="4" fontId="28" fillId="4" borderId="44" xfId="1" applyNumberFormat="1" applyFont="1" applyBorder="1" applyAlignment="1" applyProtection="1">
      <alignment horizontal="right" wrapText="1"/>
    </xf>
    <xf numFmtId="4" fontId="28" fillId="4" borderId="44" xfId="1" applyNumberFormat="1" applyFont="1" applyBorder="1" applyAlignment="1" applyProtection="1">
      <alignment horizontal="left" wrapText="1"/>
    </xf>
    <xf numFmtId="0" fontId="29" fillId="0" borderId="0" xfId="0" applyFont="1" applyAlignment="1"/>
    <xf numFmtId="0" fontId="0" fillId="0" borderId="0" xfId="0" applyAlignment="1"/>
    <xf numFmtId="4" fontId="30" fillId="2" borderId="0" xfId="0" applyNumberFormat="1" applyFont="1" applyFill="1" applyBorder="1" applyAlignment="1" applyProtection="1">
      <alignment horizontal="left" vertical="top" wrapText="1"/>
    </xf>
    <xf numFmtId="0" fontId="29" fillId="0" borderId="0" xfId="0" applyFont="1"/>
    <xf numFmtId="4" fontId="25" fillId="6" borderId="82" xfId="0" applyNumberFormat="1" applyFont="1" applyFill="1" applyBorder="1" applyAlignment="1" applyProtection="1">
      <alignment horizontal="center"/>
    </xf>
    <xf numFmtId="4" fontId="25" fillId="6" borderId="57" xfId="0" applyNumberFormat="1" applyFont="1" applyFill="1" applyBorder="1" applyAlignment="1" applyProtection="1">
      <alignment horizontal="center"/>
    </xf>
    <xf numFmtId="4" fontId="24" fillId="6" borderId="57" xfId="0" applyNumberFormat="1" applyFont="1" applyFill="1" applyBorder="1" applyAlignment="1" applyProtection="1">
      <alignment horizontal="center" vertical="top" wrapText="1"/>
    </xf>
    <xf numFmtId="4" fontId="24" fillId="6" borderId="82" xfId="0" applyNumberFormat="1" applyFont="1" applyFill="1" applyBorder="1" applyAlignment="1" applyProtection="1">
      <alignment horizontal="center" vertical="top" wrapText="1"/>
    </xf>
    <xf numFmtId="4" fontId="22" fillId="4" borderId="64" xfId="1" applyNumberFormat="1" applyFont="1" applyBorder="1"/>
    <xf numFmtId="0" fontId="21" fillId="4" borderId="64" xfId="1" applyFont="1" applyBorder="1"/>
    <xf numFmtId="4" fontId="21" fillId="4" borderId="64" xfId="1" applyNumberFormat="1" applyFont="1" applyBorder="1"/>
    <xf numFmtId="0" fontId="21" fillId="4" borderId="64" xfId="1" applyFont="1" applyBorder="1" applyAlignment="1">
      <alignment wrapText="1"/>
    </xf>
    <xf numFmtId="0" fontId="21" fillId="4" borderId="65" xfId="1" applyFont="1" applyBorder="1"/>
    <xf numFmtId="0" fontId="21" fillId="4" borderId="66" xfId="1" applyFont="1" applyBorder="1" applyAlignment="1">
      <alignment horizontal="center"/>
    </xf>
    <xf numFmtId="0" fontId="21" fillId="4" borderId="51" xfId="1" applyFont="1" applyBorder="1" applyAlignment="1">
      <alignment horizontal="center"/>
    </xf>
    <xf numFmtId="0" fontId="21" fillId="4" borderId="52" xfId="1" applyFont="1" applyBorder="1" applyAlignment="1">
      <alignment horizontal="center"/>
    </xf>
    <xf numFmtId="0" fontId="21" fillId="4" borderId="31" xfId="1" applyFont="1" applyBorder="1" applyAlignment="1">
      <alignment horizontal="center"/>
    </xf>
    <xf numFmtId="9" fontId="0" fillId="0" borderId="0" xfId="0" applyNumberFormat="1"/>
    <xf numFmtId="49" fontId="29" fillId="0" borderId="0" xfId="0" applyNumberFormat="1" applyFont="1" applyAlignment="1">
      <alignment wrapText="1"/>
    </xf>
    <xf numFmtId="0" fontId="31" fillId="4" borderId="64" xfId="1" applyFont="1" applyBorder="1"/>
    <xf numFmtId="4" fontId="26" fillId="6" borderId="80" xfId="0" applyNumberFormat="1" applyFont="1" applyFill="1" applyBorder="1" applyAlignment="1" applyProtection="1"/>
    <xf numFmtId="4" fontId="26" fillId="6" borderId="42" xfId="0" applyNumberFormat="1" applyFont="1" applyFill="1" applyBorder="1" applyAlignment="1" applyProtection="1"/>
    <xf numFmtId="4" fontId="26" fillId="6" borderId="36" xfId="0" applyNumberFormat="1" applyFont="1" applyFill="1" applyBorder="1" applyAlignment="1" applyProtection="1"/>
    <xf numFmtId="4" fontId="26" fillId="6" borderId="37" xfId="0" applyNumberFormat="1" applyFont="1" applyFill="1" applyBorder="1" applyAlignment="1" applyProtection="1"/>
    <xf numFmtId="4" fontId="26" fillId="6" borderId="40" xfId="0" applyNumberFormat="1" applyFont="1" applyFill="1" applyBorder="1" applyAlignment="1" applyProtection="1"/>
    <xf numFmtId="0" fontId="33" fillId="4" borderId="64" xfId="1" applyFont="1" applyBorder="1"/>
    <xf numFmtId="4" fontId="26" fillId="6" borderId="35" xfId="0" applyNumberFormat="1" applyFont="1" applyFill="1" applyBorder="1" applyAlignment="1" applyProtection="1"/>
    <xf numFmtId="4" fontId="26" fillId="6" borderId="49" xfId="0" applyNumberFormat="1" applyFont="1" applyFill="1" applyBorder="1" applyAlignment="1" applyProtection="1"/>
    <xf numFmtId="4" fontId="26" fillId="6" borderId="50" xfId="0" applyNumberFormat="1" applyFont="1" applyFill="1" applyBorder="1" applyAlignment="1" applyProtection="1"/>
    <xf numFmtId="4" fontId="32" fillId="6" borderId="41" xfId="0" applyNumberFormat="1" applyFont="1" applyFill="1" applyBorder="1" applyAlignment="1" applyProtection="1"/>
    <xf numFmtId="4" fontId="26" fillId="6" borderId="81" xfId="0" applyNumberFormat="1" applyFont="1" applyFill="1" applyBorder="1" applyAlignment="1" applyProtection="1"/>
    <xf numFmtId="4" fontId="26" fillId="6" borderId="29" xfId="0" applyNumberFormat="1" applyFont="1" applyFill="1" applyBorder="1" applyAlignment="1" applyProtection="1"/>
    <xf numFmtId="4" fontId="26" fillId="6" borderId="75" xfId="0" applyNumberFormat="1" applyFont="1" applyFill="1" applyBorder="1" applyAlignment="1" applyProtection="1"/>
    <xf numFmtId="4" fontId="26" fillId="6" borderId="76" xfId="0" applyNumberFormat="1" applyFont="1" applyFill="1" applyBorder="1" applyAlignment="1" applyProtection="1"/>
    <xf numFmtId="4" fontId="26" fillId="6" borderId="38" xfId="0" applyNumberFormat="1" applyFont="1" applyFill="1" applyBorder="1" applyAlignment="1" applyProtection="1"/>
    <xf numFmtId="4" fontId="34" fillId="4" borderId="69" xfId="1" applyNumberFormat="1" applyFont="1" applyBorder="1" applyAlignment="1" applyProtection="1">
      <alignment wrapText="1"/>
    </xf>
    <xf numFmtId="4" fontId="4" fillId="0" borderId="0" xfId="0" applyNumberFormat="1" applyFont="1" applyFill="1" applyBorder="1" applyAlignment="1" applyProtection="1">
      <alignment vertical="top" wrapText="1"/>
    </xf>
    <xf numFmtId="4" fontId="2" fillId="2" borderId="0" xfId="0" applyNumberFormat="1" applyFont="1" applyFill="1" applyBorder="1" applyAlignment="1" applyProtection="1">
      <alignment vertical="top" wrapText="1"/>
    </xf>
    <xf numFmtId="4" fontId="5" fillId="2" borderId="0" xfId="0" applyNumberFormat="1" applyFont="1" applyFill="1" applyBorder="1" applyAlignment="1" applyProtection="1">
      <alignment horizontal="left" vertical="top" wrapText="1"/>
    </xf>
    <xf numFmtId="4" fontId="17" fillId="0" borderId="46" xfId="0" applyNumberFormat="1" applyFont="1" applyFill="1" applyBorder="1" applyAlignment="1" applyProtection="1">
      <alignment horizontal="center" vertical="center"/>
    </xf>
    <xf numFmtId="0" fontId="18" fillId="0" borderId="47" xfId="0" applyFont="1" applyBorder="1" applyAlignment="1">
      <alignment horizontal="center" vertical="center"/>
    </xf>
    <xf numFmtId="0" fontId="18" fillId="0" borderId="48" xfId="0" applyFont="1" applyBorder="1" applyAlignment="1">
      <alignment horizontal="center" vertical="center"/>
    </xf>
    <xf numFmtId="4" fontId="34" fillId="4" borderId="32" xfId="1" applyNumberFormat="1" applyFont="1" applyBorder="1" applyAlignment="1" applyProtection="1">
      <alignment horizontal="center" wrapText="1"/>
    </xf>
    <xf numFmtId="0" fontId="35" fillId="0" borderId="70" xfId="0" applyFont="1" applyBorder="1" applyAlignment="1">
      <alignment horizontal="center" wrapText="1"/>
    </xf>
    <xf numFmtId="4" fontId="19" fillId="0" borderId="22" xfId="1" applyNumberFormat="1" applyFont="1" applyFill="1" applyBorder="1" applyAlignment="1" applyProtection="1">
      <alignment wrapText="1"/>
    </xf>
    <xf numFmtId="0" fontId="20" fillId="0" borderId="22" xfId="0" applyFont="1" applyFill="1" applyBorder="1" applyAlignment="1"/>
    <xf numFmtId="0" fontId="20" fillId="0" borderId="73" xfId="0" applyFont="1" applyFill="1" applyBorder="1" applyAlignment="1"/>
    <xf numFmtId="4" fontId="19" fillId="0" borderId="0" xfId="1" applyNumberFormat="1" applyFont="1" applyFill="1" applyBorder="1" applyAlignment="1" applyProtection="1">
      <alignment wrapText="1"/>
    </xf>
    <xf numFmtId="0" fontId="20" fillId="0" borderId="0" xfId="0" applyFont="1" applyFill="1" applyBorder="1" applyAlignment="1"/>
    <xf numFmtId="0" fontId="20" fillId="0" borderId="30" xfId="0" applyFont="1" applyFill="1" applyBorder="1" applyAlignment="1"/>
    <xf numFmtId="0" fontId="35" fillId="0" borderId="71" xfId="0" applyFont="1" applyBorder="1" applyAlignment="1">
      <alignment horizontal="center" wrapText="1"/>
    </xf>
    <xf numFmtId="4" fontId="19" fillId="4" borderId="32" xfId="1" applyNumberFormat="1" applyFont="1" applyBorder="1" applyAlignment="1" applyProtection="1">
      <alignment horizontal="center" wrapText="1"/>
    </xf>
    <xf numFmtId="0" fontId="20" fillId="0" borderId="70" xfId="0" applyFont="1" applyBorder="1" applyAlignment="1">
      <alignment horizontal="center" wrapText="1"/>
    </xf>
    <xf numFmtId="0" fontId="20" fillId="0" borderId="71" xfId="0" applyFont="1" applyBorder="1" applyAlignment="1">
      <alignment horizontal="center" wrapText="1"/>
    </xf>
    <xf numFmtId="4" fontId="19" fillId="0" borderId="77" xfId="1" applyNumberFormat="1" applyFont="1" applyFill="1" applyBorder="1" applyAlignment="1" applyProtection="1">
      <alignment wrapText="1"/>
    </xf>
    <xf numFmtId="0" fontId="0" fillId="0" borderId="77" xfId="0" applyBorder="1" applyAlignment="1"/>
    <xf numFmtId="0" fontId="0" fillId="0" borderId="78" xfId="0" applyBorder="1" applyAlignment="1"/>
    <xf numFmtId="0" fontId="0" fillId="0" borderId="22" xfId="0" applyBorder="1" applyAlignment="1"/>
    <xf numFmtId="0" fontId="0" fillId="0" borderId="73" xfId="0" applyBorder="1" applyAlignment="1"/>
    <xf numFmtId="4" fontId="26" fillId="6" borderId="80" xfId="0" applyNumberFormat="1" applyFont="1" applyFill="1" applyBorder="1" applyAlignment="1" applyProtection="1"/>
    <xf numFmtId="0" fontId="26" fillId="0" borderId="41" xfId="0" applyFont="1" applyBorder="1" applyAlignment="1"/>
    <xf numFmtId="4" fontId="26" fillId="6" borderId="29" xfId="0" applyNumberFormat="1" applyFont="1" applyFill="1" applyBorder="1" applyAlignment="1" applyProtection="1"/>
    <xf numFmtId="0" fontId="26" fillId="0" borderId="37" xfId="0" applyFont="1" applyBorder="1" applyAlignment="1"/>
    <xf numFmtId="4" fontId="26" fillId="6" borderId="36" xfId="0" applyNumberFormat="1" applyFont="1" applyFill="1" applyBorder="1" applyAlignment="1" applyProtection="1"/>
    <xf numFmtId="0" fontId="26" fillId="0" borderId="29" xfId="0" applyFont="1" applyBorder="1" applyAlignment="1"/>
    <xf numFmtId="4" fontId="26" fillId="6" borderId="38" xfId="0" applyNumberFormat="1" applyFont="1" applyFill="1" applyBorder="1" applyAlignment="1" applyProtection="1"/>
    <xf numFmtId="0" fontId="26" fillId="0" borderId="39" xfId="0" applyFont="1" applyBorder="1" applyAlignment="1"/>
    <xf numFmtId="4" fontId="28" fillId="4" borderId="43" xfId="1" applyNumberFormat="1" applyFont="1" applyBorder="1" applyAlignment="1" applyProtection="1">
      <alignment horizontal="center" wrapText="1"/>
    </xf>
    <xf numFmtId="0" fontId="26" fillId="0" borderId="44" xfId="0" applyFont="1" applyBorder="1" applyAlignment="1">
      <alignment horizontal="center"/>
    </xf>
    <xf numFmtId="0" fontId="26" fillId="0" borderId="44" xfId="0" applyFont="1" applyBorder="1" applyAlignment="1"/>
    <xf numFmtId="0" fontId="0" fillId="0" borderId="44" xfId="0" applyBorder="1" applyAlignment="1"/>
    <xf numFmtId="0" fontId="0" fillId="0" borderId="45" xfId="0" applyBorder="1" applyAlignment="1"/>
    <xf numFmtId="4" fontId="26" fillId="6" borderId="75" xfId="0" applyNumberFormat="1" applyFont="1" applyFill="1" applyBorder="1" applyAlignment="1" applyProtection="1"/>
    <xf numFmtId="0" fontId="29" fillId="0" borderId="76" xfId="0" applyFont="1" applyBorder="1" applyAlignment="1"/>
    <xf numFmtId="0" fontId="29" fillId="0" borderId="74" xfId="0" applyFont="1" applyBorder="1" applyAlignment="1"/>
    <xf numFmtId="4" fontId="32" fillId="6" borderId="41" xfId="0" applyNumberFormat="1" applyFont="1" applyFill="1" applyBorder="1" applyAlignment="1" applyProtection="1"/>
    <xf numFmtId="0" fontId="26" fillId="0" borderId="42" xfId="0" applyFont="1" applyBorder="1" applyAlignment="1"/>
    <xf numFmtId="4" fontId="13" fillId="0" borderId="0" xfId="0" applyNumberFormat="1" applyFont="1" applyFill="1" applyBorder="1" applyAlignment="1" applyProtection="1">
      <alignment wrapText="1"/>
    </xf>
    <xf numFmtId="4" fontId="9" fillId="0" borderId="0" xfId="0" applyNumberFormat="1" applyFont="1" applyFill="1" applyBorder="1" applyAlignment="1" applyProtection="1">
      <alignment wrapText="1"/>
      <protection hidden="1"/>
    </xf>
    <xf numFmtId="4" fontId="6" fillId="0" borderId="0" xfId="0" applyNumberFormat="1" applyFont="1" applyFill="1" applyBorder="1" applyAlignment="1" applyProtection="1">
      <alignment vertical="center" wrapText="1"/>
    </xf>
    <xf numFmtId="4" fontId="6" fillId="0" borderId="13" xfId="0" applyNumberFormat="1" applyFont="1" applyFill="1" applyBorder="1" applyAlignment="1" applyProtection="1">
      <alignment vertical="top" wrapText="1"/>
    </xf>
    <xf numFmtId="4" fontId="6" fillId="0" borderId="14" xfId="0" applyNumberFormat="1" applyFont="1" applyFill="1" applyBorder="1" applyAlignment="1" applyProtection="1">
      <alignment vertical="top" wrapText="1"/>
    </xf>
    <xf numFmtId="4" fontId="8" fillId="0" borderId="0" xfId="0" applyNumberFormat="1" applyFont="1" applyFill="1" applyBorder="1" applyAlignment="1" applyProtection="1">
      <alignment horizontal="left" wrapText="1"/>
    </xf>
    <xf numFmtId="4" fontId="2" fillId="0" borderId="0" xfId="0" applyNumberFormat="1" applyFont="1" applyFill="1" applyBorder="1" applyAlignment="1" applyProtection="1">
      <alignment wrapText="1"/>
    </xf>
  </cellXfs>
  <cellStyles count="4">
    <cellStyle name="40% - Accent1" xfId="2" builtinId="31"/>
    <cellStyle name="Accent1" xfId="1" builtinId="29"/>
    <cellStyle name="Normal" xfId="0" builtinId="0"/>
    <cellStyle name="Normal 2" xfId="3" xr:uid="{00000000-0005-0000-0000-000003000000}"/>
  </cellStyles>
  <dxfs count="115">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condense val="0"/>
        <extend val="0"/>
        <color indexed="23"/>
      </font>
    </dxf>
    <dxf>
      <font>
        <b val="0"/>
        <i val="0"/>
        <strike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CCFFFF"/>
      <rgbColor rgb="00339966"/>
      <rgbColor rgb="0000000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A6C9F7"/>
      <color rgb="FFF05193"/>
      <color rgb="FF190D9B"/>
      <color rgb="FF0E489C"/>
      <color rgb="FF004B9C"/>
      <color rgb="FFFCDDC4"/>
      <color rgb="FF59B3CB"/>
      <color rgb="FF881F1C"/>
      <color rgb="FFAEAA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strRef>
          <c:f>'Stacked 100%'!$A$6</c:f>
          <c:strCache>
            <c:ptCount val="1"/>
            <c:pt idx="0">
              <c:v>Percentage of Minorities at Stages of the Juvenile Justice System, County: Emmet 2021</c:v>
            </c:pt>
          </c:strCache>
        </c:strRef>
      </c:tx>
      <c:overlay val="0"/>
      <c:txPr>
        <a:bodyPr/>
        <a:lstStyle/>
        <a:p>
          <a:pPr>
            <a:defRPr sz="1600">
              <a:latin typeface="Palatino Linotype" pitchFamily="18" charset="0"/>
            </a:defRPr>
          </a:pPr>
          <a:endParaRPr lang="en-US"/>
        </a:p>
      </c:txPr>
    </c:title>
    <c:autoTitleDeleted val="0"/>
    <c:plotArea>
      <c:layout>
        <c:manualLayout>
          <c:layoutTarget val="inner"/>
          <c:xMode val="edge"/>
          <c:yMode val="edge"/>
          <c:x val="0.17439314674445147"/>
          <c:y val="0.11821107017332197"/>
          <c:w val="0.80011972092157646"/>
          <c:h val="0.72370820578022732"/>
        </c:manualLayout>
      </c:layout>
      <c:barChart>
        <c:barDir val="bar"/>
        <c:grouping val="percentStacked"/>
        <c:varyColors val="0"/>
        <c:ser>
          <c:idx val="0"/>
          <c:order val="0"/>
          <c:tx>
            <c:strRef>
              <c:f>'Stacked 100%'!$B$6</c:f>
              <c:strCache>
                <c:ptCount val="1"/>
                <c:pt idx="0">
                  <c:v>Black or African American</c:v>
                </c:pt>
              </c:strCache>
            </c:strRef>
          </c:tx>
          <c:spPr>
            <a:solidFill>
              <a:srgbClr val="190D9B"/>
            </a:solidFill>
          </c:spPr>
          <c:invertIfNegative val="0"/>
          <c:dLbls>
            <c:spPr>
              <a:noFill/>
              <a:ln>
                <a:noFill/>
              </a:ln>
              <a:effectLst/>
            </c:spPr>
            <c:txPr>
              <a:bodyPr/>
              <a:lstStyle/>
              <a:p>
                <a:pPr>
                  <a:defRPr>
                    <a:solidFill>
                      <a:schemeClr val="bg1"/>
                    </a:solidFill>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N=5</c:v>
                </c:pt>
                <c:pt idx="2">
                  <c:v>Delinquent Findings, total N=14</c:v>
                </c:pt>
                <c:pt idx="3">
                  <c:v>Petitions, total N=15</c:v>
                </c:pt>
                <c:pt idx="4">
                  <c:v>Detentions, total N=2</c:v>
                </c:pt>
                <c:pt idx="5">
                  <c:v>Referrals, total N=31</c:v>
                </c:pt>
                <c:pt idx="6">
                  <c:v>Arrests, total N=4</c:v>
                </c:pt>
                <c:pt idx="7">
                  <c:v>Population, total N=2629</c:v>
                </c:pt>
              </c:strCache>
            </c:strRef>
          </c:cat>
          <c:val>
            <c:numRef>
              <c:f>'Stacked 100%'!$B$7:$B$14</c:f>
              <c:numCache>
                <c:formatCode>0%</c:formatCode>
                <c:ptCount val="8"/>
                <c:pt idx="0">
                  <c:v>0</c:v>
                </c:pt>
                <c:pt idx="1">
                  <c:v>0</c:v>
                </c:pt>
                <c:pt idx="2">
                  <c:v>0</c:v>
                </c:pt>
                <c:pt idx="3">
                  <c:v>0</c:v>
                </c:pt>
                <c:pt idx="4">
                  <c:v>0</c:v>
                </c:pt>
                <c:pt idx="5">
                  <c:v>0</c:v>
                </c:pt>
                <c:pt idx="6">
                  <c:v>0</c:v>
                </c:pt>
                <c:pt idx="7">
                  <c:v>1.5975656143020159E-2</c:v>
                </c:pt>
              </c:numCache>
            </c:numRef>
          </c:val>
          <c:extLst>
            <c:ext xmlns:c16="http://schemas.microsoft.com/office/drawing/2014/chart" uri="{C3380CC4-5D6E-409C-BE32-E72D297353CC}">
              <c16:uniqueId val="{00000000-240F-43F9-8557-27E242E0804F}"/>
            </c:ext>
          </c:extLst>
        </c:ser>
        <c:ser>
          <c:idx val="1"/>
          <c:order val="1"/>
          <c:tx>
            <c:strRef>
              <c:f>'Stacked 100%'!$C$6</c:f>
              <c:strCache>
                <c:ptCount val="1"/>
                <c:pt idx="0">
                  <c:v>Hispanic or Latino</c:v>
                </c:pt>
              </c:strCache>
            </c:strRef>
          </c:tx>
          <c:spPr>
            <a:solidFill>
              <a:srgbClr val="F05193"/>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N=5</c:v>
                </c:pt>
                <c:pt idx="2">
                  <c:v>Delinquent Findings, total N=14</c:v>
                </c:pt>
                <c:pt idx="3">
                  <c:v>Petitions, total N=15</c:v>
                </c:pt>
                <c:pt idx="4">
                  <c:v>Detentions, total N=2</c:v>
                </c:pt>
                <c:pt idx="5">
                  <c:v>Referrals, total N=31</c:v>
                </c:pt>
                <c:pt idx="6">
                  <c:v>Arrests, total N=4</c:v>
                </c:pt>
                <c:pt idx="7">
                  <c:v>Population, total N=2629</c:v>
                </c:pt>
              </c:strCache>
            </c:strRef>
          </c:cat>
          <c:val>
            <c:numRef>
              <c:f>'Stacked 100%'!$C$7:$C$14</c:f>
              <c:numCache>
                <c:formatCode>0%</c:formatCode>
                <c:ptCount val="8"/>
                <c:pt idx="0">
                  <c:v>0</c:v>
                </c:pt>
                <c:pt idx="1">
                  <c:v>0</c:v>
                </c:pt>
                <c:pt idx="2">
                  <c:v>0</c:v>
                </c:pt>
                <c:pt idx="3">
                  <c:v>0</c:v>
                </c:pt>
                <c:pt idx="4">
                  <c:v>0</c:v>
                </c:pt>
                <c:pt idx="5">
                  <c:v>0</c:v>
                </c:pt>
                <c:pt idx="6">
                  <c:v>0</c:v>
                </c:pt>
                <c:pt idx="7">
                  <c:v>2.7386839102320273E-2</c:v>
                </c:pt>
              </c:numCache>
            </c:numRef>
          </c:val>
          <c:extLst>
            <c:ext xmlns:c16="http://schemas.microsoft.com/office/drawing/2014/chart" uri="{C3380CC4-5D6E-409C-BE32-E72D297353CC}">
              <c16:uniqueId val="{00000001-240F-43F9-8557-27E242E0804F}"/>
            </c:ext>
          </c:extLst>
        </c:ser>
        <c:ser>
          <c:idx val="2"/>
          <c:order val="2"/>
          <c:tx>
            <c:strRef>
              <c:f>'Stacked 100%'!$H$6</c:f>
              <c:strCache>
                <c:ptCount val="1"/>
                <c:pt idx="0">
                  <c:v>Other</c:v>
                </c:pt>
              </c:strCache>
            </c:strRef>
          </c:tx>
          <c:spPr>
            <a:solidFill>
              <a:srgbClr val="7030A0"/>
            </a:solidFill>
          </c:spPr>
          <c:invertIfNegative val="0"/>
          <c:cat>
            <c:strRef>
              <c:f>'Stacked 100%'!$A$7:$A$14</c:f>
              <c:strCache>
                <c:ptCount val="8"/>
                <c:pt idx="0">
                  <c:v>Waivers, total N=0</c:v>
                </c:pt>
                <c:pt idx="1">
                  <c:v>Confinement, total N=5</c:v>
                </c:pt>
                <c:pt idx="2">
                  <c:v>Delinquent Findings, total N=14</c:v>
                </c:pt>
                <c:pt idx="3">
                  <c:v>Petitions, total N=15</c:v>
                </c:pt>
                <c:pt idx="4">
                  <c:v>Detentions, total N=2</c:v>
                </c:pt>
                <c:pt idx="5">
                  <c:v>Referrals, total N=31</c:v>
                </c:pt>
                <c:pt idx="6">
                  <c:v>Arrests, total N=4</c:v>
                </c:pt>
                <c:pt idx="7">
                  <c:v>Population, total N=2629</c:v>
                </c:pt>
              </c:strCache>
            </c:strRef>
          </c:cat>
          <c:val>
            <c:numRef>
              <c:f>'Stacked 100%'!$H$7:$H$14</c:f>
              <c:numCache>
                <c:formatCode>0%</c:formatCode>
                <c:ptCount val="8"/>
                <c:pt idx="0">
                  <c:v>0</c:v>
                </c:pt>
                <c:pt idx="1">
                  <c:v>0.04</c:v>
                </c:pt>
                <c:pt idx="2">
                  <c:v>1.020408163265306E-2</c:v>
                </c:pt>
                <c:pt idx="3">
                  <c:v>8.8888888888888889E-3</c:v>
                </c:pt>
                <c:pt idx="4">
                  <c:v>0</c:v>
                </c:pt>
                <c:pt idx="5">
                  <c:v>2.0811654526534857E-3</c:v>
                </c:pt>
                <c:pt idx="6">
                  <c:v>0</c:v>
                </c:pt>
                <c:pt idx="7">
                  <c:v>2.2859983613153522E-5</c:v>
                </c:pt>
              </c:numCache>
            </c:numRef>
          </c:val>
          <c:extLst>
            <c:ext xmlns:c16="http://schemas.microsoft.com/office/drawing/2014/chart" uri="{C3380CC4-5D6E-409C-BE32-E72D297353CC}">
              <c16:uniqueId val="{00000002-240F-43F9-8557-27E242E0804F}"/>
            </c:ext>
          </c:extLst>
        </c:ser>
        <c:ser>
          <c:idx val="3"/>
          <c:order val="3"/>
          <c:tx>
            <c:strRef>
              <c:f>'Stacked 100%'!$I$6</c:f>
              <c:strCache>
                <c:ptCount val="1"/>
                <c:pt idx="0">
                  <c:v>White</c:v>
                </c:pt>
              </c:strCache>
            </c:strRef>
          </c:tx>
          <c:spPr>
            <a:solidFill>
              <a:srgbClr val="A6C9F7"/>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N=5</c:v>
                </c:pt>
                <c:pt idx="2">
                  <c:v>Delinquent Findings, total N=14</c:v>
                </c:pt>
                <c:pt idx="3">
                  <c:v>Petitions, total N=15</c:v>
                </c:pt>
                <c:pt idx="4">
                  <c:v>Detentions, total N=2</c:v>
                </c:pt>
                <c:pt idx="5">
                  <c:v>Referrals, total N=31</c:v>
                </c:pt>
                <c:pt idx="6">
                  <c:v>Arrests, total N=4</c:v>
                </c:pt>
                <c:pt idx="7">
                  <c:v>Population, total N=2629</c:v>
                </c:pt>
              </c:strCache>
            </c:strRef>
          </c:cat>
          <c:val>
            <c:numRef>
              <c:f>'Stacked 100%'!$I$7:$I$14</c:f>
              <c:numCache>
                <c:formatCode>0%</c:formatCode>
                <c:ptCount val="8"/>
                <c:pt idx="0">
                  <c:v>0</c:v>
                </c:pt>
                <c:pt idx="1">
                  <c:v>0.8</c:v>
                </c:pt>
                <c:pt idx="2">
                  <c:v>0.8571428571428571</c:v>
                </c:pt>
                <c:pt idx="3">
                  <c:v>0.8666666666666667</c:v>
                </c:pt>
                <c:pt idx="4">
                  <c:v>1</c:v>
                </c:pt>
                <c:pt idx="5">
                  <c:v>0.87096774193548387</c:v>
                </c:pt>
                <c:pt idx="6">
                  <c:v>0.75</c:v>
                </c:pt>
                <c:pt idx="7">
                  <c:v>0.89653860783567896</c:v>
                </c:pt>
              </c:numCache>
            </c:numRef>
          </c:val>
          <c:extLst>
            <c:ext xmlns:c16="http://schemas.microsoft.com/office/drawing/2014/chart" uri="{C3380CC4-5D6E-409C-BE32-E72D297353CC}">
              <c16:uniqueId val="{00000003-240F-43F9-8557-27E242E0804F}"/>
            </c:ext>
          </c:extLst>
        </c:ser>
        <c:dLbls>
          <c:showLegendKey val="0"/>
          <c:showVal val="0"/>
          <c:showCatName val="0"/>
          <c:showSerName val="0"/>
          <c:showPercent val="0"/>
          <c:showBubbleSize val="0"/>
        </c:dLbls>
        <c:gapWidth val="150"/>
        <c:overlap val="100"/>
        <c:axId val="104348288"/>
        <c:axId val="107897600"/>
      </c:barChart>
      <c:barChart>
        <c:barDir val="bar"/>
        <c:grouping val="percentStacked"/>
        <c:varyColors val="0"/>
        <c:ser>
          <c:idx val="4"/>
          <c:order val="4"/>
          <c:tx>
            <c:strRef>
              <c:f>'Stacked 100%'!$K$6</c:f>
              <c:strCache>
                <c:ptCount val="1"/>
                <c:pt idx="0">
                  <c:v>DP</c:v>
                </c:pt>
              </c:strCache>
            </c:strRef>
          </c:tx>
          <c:invertIfNegative val="0"/>
          <c:cat>
            <c:strRef>
              <c:f>'Stacked 100%'!$A$7:$A$14</c:f>
              <c:strCache>
                <c:ptCount val="8"/>
                <c:pt idx="0">
                  <c:v>Waivers, total N=0</c:v>
                </c:pt>
                <c:pt idx="1">
                  <c:v>Confinement, total N=5</c:v>
                </c:pt>
                <c:pt idx="2">
                  <c:v>Delinquent Findings, total N=14</c:v>
                </c:pt>
                <c:pt idx="3">
                  <c:v>Petitions, total N=15</c:v>
                </c:pt>
                <c:pt idx="4">
                  <c:v>Detentions, total N=2</c:v>
                </c:pt>
                <c:pt idx="5">
                  <c:v>Referrals, total N=31</c:v>
                </c:pt>
                <c:pt idx="6">
                  <c:v>Arrests, total N=4</c:v>
                </c:pt>
                <c:pt idx="7">
                  <c:v>Population, total N=2629</c:v>
                </c:pt>
              </c:strCache>
            </c:strRef>
          </c:cat>
          <c:val>
            <c:numRef>
              <c:f>'Stacked 100%'!$K$7:$K$14</c:f>
              <c:numCache>
                <c:formatCode>#,##0.00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4-240F-43F9-8557-27E242E0804F}"/>
            </c:ext>
          </c:extLst>
        </c:ser>
        <c:dLbls>
          <c:showLegendKey val="0"/>
          <c:showVal val="0"/>
          <c:showCatName val="0"/>
          <c:showSerName val="0"/>
          <c:showPercent val="0"/>
          <c:showBubbleSize val="0"/>
        </c:dLbls>
        <c:gapWidth val="150"/>
        <c:overlap val="100"/>
        <c:axId val="108053632"/>
        <c:axId val="107899136"/>
      </c:barChart>
      <c:catAx>
        <c:axId val="104348288"/>
        <c:scaling>
          <c:orientation val="minMax"/>
        </c:scaling>
        <c:delete val="0"/>
        <c:axPos val="l"/>
        <c:numFmt formatCode="#,##0" sourceLinked="0"/>
        <c:majorTickMark val="out"/>
        <c:minorTickMark val="none"/>
        <c:tickLblPos val="nextTo"/>
        <c:txPr>
          <a:bodyPr/>
          <a:lstStyle/>
          <a:p>
            <a:pPr>
              <a:defRPr>
                <a:latin typeface="Palatino Linotype" pitchFamily="18" charset="0"/>
              </a:defRPr>
            </a:pPr>
            <a:endParaRPr lang="en-US"/>
          </a:p>
        </c:txPr>
        <c:crossAx val="107897600"/>
        <c:crosses val="autoZero"/>
        <c:auto val="1"/>
        <c:lblAlgn val="ctr"/>
        <c:lblOffset val="100"/>
        <c:noMultiLvlLbl val="0"/>
      </c:catAx>
      <c:valAx>
        <c:axId val="107897600"/>
        <c:scaling>
          <c:orientation val="minMax"/>
        </c:scaling>
        <c:delete val="0"/>
        <c:axPos val="b"/>
        <c:majorGridlines/>
        <c:numFmt formatCode="0%" sourceLinked="1"/>
        <c:majorTickMark val="out"/>
        <c:minorTickMark val="none"/>
        <c:tickLblPos val="nextTo"/>
        <c:txPr>
          <a:bodyPr/>
          <a:lstStyle/>
          <a:p>
            <a:pPr>
              <a:defRPr>
                <a:latin typeface="Palatino Linotype" pitchFamily="18" charset="0"/>
              </a:defRPr>
            </a:pPr>
            <a:endParaRPr lang="en-US"/>
          </a:p>
        </c:txPr>
        <c:crossAx val="104348288"/>
        <c:crosses val="autoZero"/>
        <c:crossBetween val="between"/>
      </c:valAx>
      <c:valAx>
        <c:axId val="107899136"/>
        <c:scaling>
          <c:orientation val="minMax"/>
        </c:scaling>
        <c:delete val="1"/>
        <c:axPos val="t"/>
        <c:numFmt formatCode="0%" sourceLinked="1"/>
        <c:majorTickMark val="out"/>
        <c:minorTickMark val="none"/>
        <c:tickLblPos val="nextTo"/>
        <c:crossAx val="108053632"/>
        <c:crosses val="max"/>
        <c:crossBetween val="between"/>
      </c:valAx>
      <c:catAx>
        <c:axId val="108053632"/>
        <c:scaling>
          <c:orientation val="minMax"/>
        </c:scaling>
        <c:delete val="1"/>
        <c:axPos val="l"/>
        <c:numFmt formatCode="General" sourceLinked="1"/>
        <c:majorTickMark val="out"/>
        <c:minorTickMark val="none"/>
        <c:tickLblPos val="nextTo"/>
        <c:crossAx val="107899136"/>
        <c:crosses val="autoZero"/>
        <c:auto val="1"/>
        <c:lblAlgn val="ctr"/>
        <c:lblOffset val="100"/>
        <c:noMultiLvlLbl val="0"/>
      </c:catAx>
      <c:spPr>
        <a:ln>
          <a:solidFill>
            <a:schemeClr val="tx2"/>
          </a:solidFill>
        </a:ln>
      </c:spPr>
    </c:plotArea>
    <c:legend>
      <c:legendPos val="b"/>
      <c:legendEntry>
        <c:idx val="2"/>
        <c:delete val="1"/>
      </c:legendEntry>
      <c:legendEntry>
        <c:idx val="4"/>
        <c:delete val="1"/>
      </c:legendEntry>
      <c:layout>
        <c:manualLayout>
          <c:xMode val="edge"/>
          <c:yMode val="edge"/>
          <c:x val="0.3159923443935353"/>
          <c:y val="0.9030400285842699"/>
          <c:w val="0.36345681733119617"/>
          <c:h val="3.5923407149514558E-2"/>
        </c:manualLayout>
      </c:layout>
      <c:overlay val="0"/>
      <c:txPr>
        <a:bodyPr/>
        <a:lstStyle/>
        <a:p>
          <a:pPr>
            <a:defRPr sz="1000">
              <a:latin typeface="Palatino Linotype" pitchFamily="18" charset="0"/>
            </a:defRPr>
          </a:pPr>
          <a:endParaRPr lang="en-US"/>
        </a:p>
      </c:txPr>
    </c:legend>
    <c:plotVisOnly val="1"/>
    <c:dispBlanksAs val="gap"/>
    <c:showDLblsOverMax val="0"/>
  </c:chart>
  <c:spPr>
    <a:ln w="12700">
      <a:solidFill>
        <a:schemeClr val="tx2"/>
      </a:solidFill>
    </a:ln>
  </c:spPr>
  <c:printSettings>
    <c:headerFooter/>
    <c:pageMargins b="0.75" l="0.7" r="0.7" t="0.75" header="0.3" footer="0.3"/>
    <c:pageSetup orientation="landscape"/>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1685924</xdr:colOff>
      <xdr:row>24</xdr:row>
      <xdr:rowOff>4762</xdr:rowOff>
    </xdr:from>
    <xdr:to>
      <xdr:col>14</xdr:col>
      <xdr:colOff>581025</xdr:colOff>
      <xdr:row>61</xdr:row>
      <xdr:rowOff>47625</xdr:rowOff>
    </xdr:to>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0.77493</cdr:x>
      <cdr:y>0.10971</cdr:y>
    </cdr:from>
    <cdr:to>
      <cdr:x>0.95755</cdr:x>
      <cdr:y>0.33228</cdr:y>
    </cdr:to>
    <cdr:sp macro="" textlink="">
      <cdr:nvSpPr>
        <cdr:cNvPr id="2" name="TextBox 1"/>
        <cdr:cNvSpPr txBox="1"/>
      </cdr:nvSpPr>
      <cdr:spPr>
        <a:xfrm xmlns:a="http://schemas.openxmlformats.org/drawingml/2006/main">
          <a:off x="7477126" y="661988"/>
          <a:ext cx="1762125" cy="13430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0.35043</cdr:x>
      <cdr:y>0.94949</cdr:y>
    </cdr:from>
    <cdr:to>
      <cdr:x>0.66239</cdr:x>
      <cdr:y>0.98895</cdr:y>
    </cdr:to>
    <cdr:sp macro="" textlink="">
      <cdr:nvSpPr>
        <cdr:cNvPr id="3" name="TextBox 2"/>
        <cdr:cNvSpPr txBox="1"/>
      </cdr:nvSpPr>
      <cdr:spPr>
        <a:xfrm xmlns:a="http://schemas.openxmlformats.org/drawingml/2006/main">
          <a:off x="3905251" y="5729287"/>
          <a:ext cx="3476625" cy="2381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000">
              <a:latin typeface="Palatino Linotype" pitchFamily="18" charset="0"/>
            </a:rPr>
            <a:t>Percentages may not total exactly 100% due to rounding.</a:t>
          </a:r>
        </a:p>
      </cdr:txBody>
    </cdr:sp>
  </cdr:relSizeAnchor>
</c:userShapes>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PPA Theme">
  <a:themeElements>
    <a:clrScheme name="Elemental">
      <a:dk1>
        <a:sysClr val="windowText" lastClr="000000"/>
      </a:dk1>
      <a:lt1>
        <a:sysClr val="window" lastClr="FFFFFF"/>
      </a:lt1>
      <a:dk2>
        <a:srgbClr val="242852"/>
      </a:dk2>
      <a:lt2>
        <a:srgbClr val="ACCBF9"/>
      </a:lt2>
      <a:accent1>
        <a:srgbClr val="629DD1"/>
      </a:accent1>
      <a:accent2>
        <a:srgbClr val="297FD5"/>
      </a:accent2>
      <a:accent3>
        <a:srgbClr val="7F8FA9"/>
      </a:accent3>
      <a:accent4>
        <a:srgbClr val="4A66AC"/>
      </a:accent4>
      <a:accent5>
        <a:srgbClr val="5AA2AE"/>
      </a:accent5>
      <a:accent6>
        <a:srgbClr val="9D90A0"/>
      </a:accent6>
      <a:hlink>
        <a:srgbClr val="9454C3"/>
      </a:hlink>
      <a:folHlink>
        <a:srgbClr val="3EBBF0"/>
      </a:folHlink>
    </a:clrScheme>
    <a:fontScheme name="PPA Sample 1">
      <a:majorFont>
        <a:latin typeface="Estrangelo Edessa"/>
        <a:ea typeface=""/>
        <a:cs typeface=""/>
      </a:majorFont>
      <a:minorFont>
        <a:latin typeface="Estrangelo Edessa"/>
        <a:ea typeface=""/>
        <a:cs typeface=""/>
      </a:minorFont>
    </a:fontScheme>
    <a:fmtScheme name="Elemental">
      <a:fillStyleLst>
        <a:solidFill>
          <a:schemeClr val="phClr"/>
        </a:solidFill>
        <a:gradFill rotWithShape="1">
          <a:gsLst>
            <a:gs pos="0">
              <a:schemeClr val="phClr">
                <a:tint val="90000"/>
              </a:schemeClr>
            </a:gs>
            <a:gs pos="48000">
              <a:schemeClr val="phClr">
                <a:tint val="54000"/>
                <a:satMod val="140000"/>
              </a:schemeClr>
            </a:gs>
            <a:gs pos="100000">
              <a:schemeClr val="phClr">
                <a:tint val="24000"/>
                <a:satMod val="260000"/>
              </a:schemeClr>
            </a:gs>
          </a:gsLst>
          <a:lin ang="16200000" scaled="1"/>
        </a:gradFill>
        <a:gradFill rotWithShape="1">
          <a:gsLst>
            <a:gs pos="0">
              <a:schemeClr val="phClr"/>
            </a:gs>
            <a:gs pos="100000">
              <a:schemeClr val="phClr">
                <a:shade val="48000"/>
                <a:satMod val="180000"/>
                <a:lumMod val="94000"/>
              </a:schemeClr>
            </a:gs>
            <a:gs pos="100000">
              <a:schemeClr val="phClr">
                <a:shade val="48000"/>
                <a:satMod val="180000"/>
                <a:lumMod val="94000"/>
              </a:schemeClr>
            </a:gs>
          </a:gsLst>
          <a:lin ang="4140000" scaled="1"/>
        </a:gradFill>
      </a:fillStyleLst>
      <a:lnStyleLst>
        <a:ln w="12700" cap="flat" cmpd="sng" algn="ctr">
          <a:solidFill>
            <a:schemeClr val="phClr"/>
          </a:solidFill>
          <a:prstDash val="solid"/>
        </a:ln>
        <a:ln w="19050" cap="flat" cmpd="sng" algn="ctr">
          <a:solidFill>
            <a:schemeClr val="phClr"/>
          </a:solidFill>
          <a:prstDash val="solid"/>
        </a:ln>
        <a:ln w="28575" cap="flat" cmpd="sng" algn="ctr">
          <a:solidFill>
            <a:schemeClr val="phClr"/>
          </a:solidFill>
          <a:prstDash val="solid"/>
        </a:ln>
      </a:lnStyleLst>
      <a:effectStyleLst>
        <a:effectStyle>
          <a:effectLst>
            <a:outerShdw blurRad="63500" dist="12700" dir="5400000" sx="102000" sy="102000" rotWithShape="0">
              <a:srgbClr val="000000">
                <a:alpha val="32000"/>
              </a:srgbClr>
            </a:outerShdw>
          </a:effectLst>
        </a:effectStyle>
        <a:effectStyle>
          <a:effectLst>
            <a:outerShdw blurRad="76200" dist="38100" dir="5400000" rotWithShape="0">
              <a:srgbClr val="000000">
                <a:alpha val="60000"/>
              </a:srgbClr>
            </a:outerShdw>
          </a:effectLst>
          <a:scene3d>
            <a:camera prst="orthographicFront">
              <a:rot lat="0" lon="0" rev="0"/>
            </a:camera>
            <a:lightRig rig="glow" dir="tl">
              <a:rot lat="0" lon="0" rev="19800000"/>
            </a:lightRig>
          </a:scene3d>
          <a:sp3d prstMaterial="metal">
            <a:bevelT w="38100" h="38100"/>
          </a:sp3d>
        </a:effectStyle>
        <a:effectStyle>
          <a:effectLst>
            <a:outerShdw blurRad="114300" dist="114300" dir="5400000" rotWithShape="0">
              <a:srgbClr val="000000">
                <a:alpha val="70000"/>
              </a:srgbClr>
            </a:outerShdw>
          </a:effectLst>
          <a:scene3d>
            <a:camera prst="orthographicFront">
              <a:rot lat="0" lon="0" rev="0"/>
            </a:camera>
            <a:lightRig rig="threePt" dir="t">
              <a:rot lat="0" lon="0" rev="19800000"/>
            </a:lightRig>
          </a:scene3d>
          <a:sp3d prstMaterial="plastic">
            <a:bevelT w="50800" h="50800"/>
          </a:sp3d>
        </a:effectStyle>
      </a:effectStyleLst>
      <a:bgFillStyleLst>
        <a:solidFill>
          <a:schemeClr val="phClr"/>
        </a:solidFill>
        <a:gradFill rotWithShape="1">
          <a:gsLst>
            <a:gs pos="0">
              <a:schemeClr val="phClr">
                <a:tint val="95000"/>
              </a:schemeClr>
            </a:gs>
            <a:gs pos="100000">
              <a:schemeClr val="phClr">
                <a:shade val="40000"/>
                <a:satMod val="180000"/>
              </a:schemeClr>
            </a:gs>
          </a:gsLst>
          <a:lin ang="5400000" scaled="0"/>
        </a:gradFill>
        <a:blipFill>
          <a:blip xmlns:r="http://schemas.openxmlformats.org/officeDocument/2006/relationships" r:embed="rId1">
            <a:duotone>
              <a:schemeClr val="phClr">
                <a:shade val="14000"/>
                <a:satMod val="280000"/>
              </a:schemeClr>
              <a:schemeClr val="phClr">
                <a:tint val="60000"/>
                <a:satMod val="120000"/>
              </a:schemeClr>
            </a:duotone>
          </a:blip>
          <a:stretch/>
        </a:blip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K42"/>
  <sheetViews>
    <sheetView zoomScaleNormal="100" workbookViewId="0">
      <selection activeCell="I15" sqref="I15"/>
    </sheetView>
  </sheetViews>
  <sheetFormatPr defaultColWidth="10.28515625" defaultRowHeight="12.75" customHeight="1" x14ac:dyDescent="0.25"/>
  <cols>
    <col min="1" max="1" width="39.28515625" style="1" customWidth="1"/>
    <col min="2" max="2" width="8.42578125" style="1" customWidth="1"/>
    <col min="3" max="3" width="8.140625" style="1" customWidth="1"/>
    <col min="4" max="4" width="9.42578125" style="1" customWidth="1"/>
    <col min="5" max="5" width="8.140625" style="1" customWidth="1"/>
    <col min="6" max="7" width="8.28515625" style="1" customWidth="1"/>
    <col min="8" max="8" width="9.42578125" style="1" customWidth="1"/>
    <col min="9" max="9" width="7.140625" style="1" customWidth="1"/>
    <col min="10" max="10" width="9.42578125" style="1" customWidth="1"/>
  </cols>
  <sheetData>
    <row r="1" spans="1:11" ht="25.5" customHeight="1" x14ac:dyDescent="0.25">
      <c r="A1" s="2" t="s">
        <v>0</v>
      </c>
      <c r="B1" s="176" t="s">
        <v>1</v>
      </c>
      <c r="C1" s="176"/>
      <c r="D1" s="176"/>
      <c r="E1" s="176"/>
      <c r="F1" s="176"/>
      <c r="G1" s="176"/>
      <c r="H1" s="176"/>
    </row>
    <row r="2" spans="1:11" ht="15" customHeight="1" x14ac:dyDescent="0.25">
      <c r="A2" s="3" t="s">
        <v>122</v>
      </c>
      <c r="B2" s="4"/>
      <c r="C2" s="4"/>
      <c r="D2" s="4"/>
      <c r="E2" s="4"/>
      <c r="F2" s="4"/>
    </row>
    <row r="3" spans="1:11" ht="15" customHeight="1" x14ac:dyDescent="0.25">
      <c r="A3" s="142" t="s">
        <v>137</v>
      </c>
      <c r="B3" s="4"/>
      <c r="C3" s="5" t="s">
        <v>107</v>
      </c>
      <c r="D3" s="6"/>
      <c r="E3" s="6"/>
      <c r="F3" s="6"/>
      <c r="G3" s="7"/>
      <c r="H3" s="7"/>
    </row>
    <row r="4" spans="1:11" ht="15" customHeight="1" x14ac:dyDescent="0.25">
      <c r="A4" s="4"/>
      <c r="B4" s="4"/>
      <c r="C4" s="178" t="s">
        <v>140</v>
      </c>
      <c r="D4" s="178"/>
      <c r="E4" s="178"/>
      <c r="F4" s="178"/>
      <c r="G4" s="8"/>
    </row>
    <row r="5" spans="1:11" ht="65.25" customHeight="1" thickBot="1" x14ac:dyDescent="0.3">
      <c r="A5" s="8"/>
      <c r="B5" s="9" t="s">
        <v>2</v>
      </c>
      <c r="C5" s="9" t="s">
        <v>3</v>
      </c>
      <c r="D5" s="9" t="s">
        <v>132</v>
      </c>
      <c r="E5" s="9" t="s">
        <v>4</v>
      </c>
      <c r="F5" s="9" t="s">
        <v>5</v>
      </c>
      <c r="G5" s="9" t="s">
        <v>135</v>
      </c>
      <c r="H5" s="9" t="s">
        <v>6</v>
      </c>
      <c r="I5" s="9" t="s">
        <v>124</v>
      </c>
      <c r="J5" s="9" t="s">
        <v>7</v>
      </c>
      <c r="K5" s="9" t="s">
        <v>116</v>
      </c>
    </row>
    <row r="6" spans="1:11" ht="15.75" customHeight="1" thickBot="1" x14ac:dyDescent="0.25">
      <c r="A6" s="10" t="s">
        <v>136</v>
      </c>
      <c r="B6" s="11">
        <f>SUM(C6:I6)+K6</f>
        <v>2629</v>
      </c>
      <c r="C6" s="11">
        <v>2357</v>
      </c>
      <c r="D6" s="11">
        <v>42</v>
      </c>
      <c r="E6" s="11">
        <v>72</v>
      </c>
      <c r="F6" s="11">
        <v>27</v>
      </c>
      <c r="G6" s="11"/>
      <c r="H6" s="11">
        <v>131</v>
      </c>
      <c r="I6" s="11"/>
      <c r="J6" s="91">
        <f>SUM(D6:I6)</f>
        <v>272</v>
      </c>
      <c r="K6" s="92"/>
    </row>
    <row r="7" spans="1:11" ht="15.75" customHeight="1" thickBot="1" x14ac:dyDescent="0.25">
      <c r="A7" s="10" t="s">
        <v>8</v>
      </c>
      <c r="B7" s="11">
        <f t="shared" ref="B7:B15" si="0">SUM(C7:I7)+K7</f>
        <v>4</v>
      </c>
      <c r="C7" s="11">
        <v>3</v>
      </c>
      <c r="D7" s="11"/>
      <c r="E7" s="11"/>
      <c r="F7" s="11"/>
      <c r="G7" s="11"/>
      <c r="H7" s="11"/>
      <c r="I7" s="11"/>
      <c r="J7" s="91">
        <f t="shared" ref="J7:J15" si="1">SUM(D7:I7)</f>
        <v>0</v>
      </c>
      <c r="K7" s="92">
        <v>1</v>
      </c>
    </row>
    <row r="8" spans="1:11" ht="15.75" customHeight="1" thickBot="1" x14ac:dyDescent="0.25">
      <c r="A8" s="10" t="s">
        <v>9</v>
      </c>
      <c r="B8" s="11">
        <f t="shared" si="0"/>
        <v>31</v>
      </c>
      <c r="C8" s="11">
        <v>27</v>
      </c>
      <c r="D8" s="11"/>
      <c r="E8" s="11"/>
      <c r="F8" s="11"/>
      <c r="G8" s="11"/>
      <c r="H8" s="11">
        <v>1</v>
      </c>
      <c r="I8" s="11">
        <v>1</v>
      </c>
      <c r="J8" s="91">
        <f t="shared" si="1"/>
        <v>2</v>
      </c>
      <c r="K8" s="92">
        <v>2</v>
      </c>
    </row>
    <row r="9" spans="1:11" ht="15.75" customHeight="1" thickBot="1" x14ac:dyDescent="0.25">
      <c r="A9" s="10" t="s">
        <v>10</v>
      </c>
      <c r="B9" s="11">
        <f t="shared" si="0"/>
        <v>1</v>
      </c>
      <c r="C9" s="11">
        <v>1</v>
      </c>
      <c r="D9" s="11"/>
      <c r="E9" s="11"/>
      <c r="F9" s="11"/>
      <c r="G9" s="11"/>
      <c r="H9" s="11"/>
      <c r="I9" s="11"/>
      <c r="J9" s="91">
        <f t="shared" si="1"/>
        <v>0</v>
      </c>
      <c r="K9" s="92"/>
    </row>
    <row r="10" spans="1:11" ht="15.75" customHeight="1" thickBot="1" x14ac:dyDescent="0.25">
      <c r="A10" s="10" t="s">
        <v>11</v>
      </c>
      <c r="B10" s="11">
        <f t="shared" si="0"/>
        <v>2</v>
      </c>
      <c r="C10" s="11">
        <v>2</v>
      </c>
      <c r="D10" s="11"/>
      <c r="E10" s="11"/>
      <c r="F10" s="11"/>
      <c r="G10" s="11"/>
      <c r="H10" s="11"/>
      <c r="I10" s="11"/>
      <c r="J10" s="91">
        <f t="shared" si="1"/>
        <v>0</v>
      </c>
      <c r="K10" s="92"/>
    </row>
    <row r="11" spans="1:11" ht="15.75" customHeight="1" thickBot="1" x14ac:dyDescent="0.25">
      <c r="A11" s="10" t="s">
        <v>12</v>
      </c>
      <c r="B11" s="11">
        <f t="shared" si="0"/>
        <v>15</v>
      </c>
      <c r="C11" s="11">
        <v>13</v>
      </c>
      <c r="D11" s="11"/>
      <c r="E11" s="11"/>
      <c r="F11" s="11"/>
      <c r="G11" s="11"/>
      <c r="H11" s="11">
        <v>1</v>
      </c>
      <c r="I11" s="11">
        <v>1</v>
      </c>
      <c r="J11" s="91">
        <f t="shared" si="1"/>
        <v>2</v>
      </c>
      <c r="K11" s="92"/>
    </row>
    <row r="12" spans="1:11" ht="15.75" customHeight="1" thickBot="1" x14ac:dyDescent="0.25">
      <c r="A12" s="10" t="s">
        <v>13</v>
      </c>
      <c r="B12" s="11">
        <f t="shared" si="0"/>
        <v>14</v>
      </c>
      <c r="C12" s="11">
        <v>12</v>
      </c>
      <c r="D12" s="11"/>
      <c r="E12" s="11"/>
      <c r="F12" s="11"/>
      <c r="G12" s="11"/>
      <c r="H12" s="11">
        <v>1</v>
      </c>
      <c r="I12" s="11">
        <v>1</v>
      </c>
      <c r="J12" s="91">
        <f t="shared" si="1"/>
        <v>2</v>
      </c>
      <c r="K12" s="92"/>
    </row>
    <row r="13" spans="1:11" ht="15.75" customHeight="1" thickBot="1" x14ac:dyDescent="0.25">
      <c r="A13" s="10" t="s">
        <v>133</v>
      </c>
      <c r="B13" s="11">
        <f t="shared" si="0"/>
        <v>27</v>
      </c>
      <c r="C13" s="11">
        <v>23</v>
      </c>
      <c r="D13" s="11"/>
      <c r="E13" s="11"/>
      <c r="F13" s="11"/>
      <c r="G13" s="11"/>
      <c r="H13" s="11">
        <v>1</v>
      </c>
      <c r="I13" s="11">
        <v>1</v>
      </c>
      <c r="J13" s="91">
        <f t="shared" si="1"/>
        <v>2</v>
      </c>
      <c r="K13" s="92">
        <v>2</v>
      </c>
    </row>
    <row r="14" spans="1:11" ht="26.25" customHeight="1" thickBot="1" x14ac:dyDescent="0.25">
      <c r="A14" s="10" t="s">
        <v>123</v>
      </c>
      <c r="B14" s="11">
        <f t="shared" si="0"/>
        <v>5</v>
      </c>
      <c r="C14" s="11">
        <v>4</v>
      </c>
      <c r="D14" s="11"/>
      <c r="E14" s="11"/>
      <c r="F14" s="11"/>
      <c r="G14" s="11"/>
      <c r="H14" s="11"/>
      <c r="I14" s="11">
        <v>1</v>
      </c>
      <c r="J14" s="91">
        <f t="shared" si="1"/>
        <v>1</v>
      </c>
      <c r="K14" s="92"/>
    </row>
    <row r="15" spans="1:11" ht="15.75" customHeight="1" thickBot="1" x14ac:dyDescent="0.25">
      <c r="A15" s="10" t="s">
        <v>16</v>
      </c>
      <c r="B15" s="11">
        <f t="shared" si="0"/>
        <v>0</v>
      </c>
      <c r="C15" s="11"/>
      <c r="D15" s="11"/>
      <c r="E15" s="11"/>
      <c r="F15" s="11"/>
      <c r="G15" s="11"/>
      <c r="H15" s="11"/>
      <c r="I15" s="11"/>
      <c r="J15" s="91">
        <f t="shared" si="1"/>
        <v>0</v>
      </c>
      <c r="K15" s="92"/>
    </row>
    <row r="16" spans="1:11" s="14" customFormat="1" ht="15" customHeight="1" x14ac:dyDescent="0.2">
      <c r="A16" s="12" t="s">
        <v>17</v>
      </c>
      <c r="B16" s="13" t="str">
        <f>IF((B6 &gt; ($B6/100)),"Yes","No")</f>
        <v>Yes</v>
      </c>
      <c r="C16" s="13" t="str">
        <f>IF((C6 &gt; ($B6/100)),"Yes","No")</f>
        <v>Yes</v>
      </c>
      <c r="D16" s="13" t="str">
        <f t="shared" ref="D16:J16" si="2">IF((D6 &gt; ($B6/100)),"Yes","No")</f>
        <v>Yes</v>
      </c>
      <c r="E16" s="13" t="str">
        <f t="shared" si="2"/>
        <v>Yes</v>
      </c>
      <c r="F16" s="13" t="str">
        <f t="shared" si="2"/>
        <v>Yes</v>
      </c>
      <c r="G16" s="13" t="str">
        <f t="shared" si="2"/>
        <v>No</v>
      </c>
      <c r="H16" s="13" t="str">
        <f t="shared" si="2"/>
        <v>Yes</v>
      </c>
      <c r="I16" s="13" t="str">
        <f t="shared" si="2"/>
        <v>No</v>
      </c>
      <c r="J16" s="13" t="str">
        <f t="shared" si="2"/>
        <v>Yes</v>
      </c>
    </row>
    <row r="17" spans="1:9" ht="15" customHeight="1" x14ac:dyDescent="0.25">
      <c r="A17" s="15"/>
    </row>
    <row r="18" spans="1:9" ht="15" customHeight="1" x14ac:dyDescent="0.25">
      <c r="A18" s="16" t="s">
        <v>18</v>
      </c>
      <c r="B18" s="16"/>
      <c r="C18" s="16"/>
      <c r="D18" s="16"/>
      <c r="E18" s="16"/>
      <c r="F18" s="16"/>
      <c r="G18" s="16"/>
    </row>
    <row r="19" spans="1:9" ht="15" customHeight="1" x14ac:dyDescent="0.25">
      <c r="A19" s="177" t="s">
        <v>138</v>
      </c>
      <c r="B19" s="177"/>
      <c r="C19" s="8"/>
      <c r="D19" s="177" t="s">
        <v>139</v>
      </c>
      <c r="E19" s="177"/>
      <c r="F19" s="177"/>
      <c r="G19" s="177"/>
      <c r="H19" s="177"/>
      <c r="I19" s="177"/>
    </row>
    <row r="20" spans="1:9" ht="15" customHeight="1" x14ac:dyDescent="0.25">
      <c r="A20" s="177" t="s">
        <v>108</v>
      </c>
      <c r="B20" s="177"/>
      <c r="C20" s="8"/>
      <c r="D20" s="177" t="s">
        <v>109</v>
      </c>
      <c r="E20" s="177"/>
      <c r="F20" s="177"/>
      <c r="G20" s="177"/>
      <c r="H20" s="177"/>
      <c r="I20" s="177"/>
    </row>
    <row r="21" spans="1:9" ht="15" customHeight="1" x14ac:dyDescent="0.25">
      <c r="A21" s="177" t="s">
        <v>110</v>
      </c>
      <c r="B21" s="177"/>
      <c r="C21" s="8"/>
      <c r="D21" s="177" t="s">
        <v>111</v>
      </c>
      <c r="E21" s="177"/>
      <c r="F21" s="177"/>
      <c r="G21" s="177"/>
      <c r="H21" s="177"/>
      <c r="I21" s="177"/>
    </row>
    <row r="22" spans="1:9" ht="15" customHeight="1" x14ac:dyDescent="0.25">
      <c r="A22" s="177" t="s">
        <v>112</v>
      </c>
      <c r="B22" s="177"/>
      <c r="C22" s="8"/>
      <c r="D22" s="177" t="s">
        <v>113</v>
      </c>
      <c r="E22" s="177"/>
      <c r="F22" s="177"/>
      <c r="G22" s="177"/>
      <c r="H22" s="177"/>
      <c r="I22" s="177"/>
    </row>
    <row r="23" spans="1:9" ht="15" customHeight="1" x14ac:dyDescent="0.25">
      <c r="A23" s="177" t="s">
        <v>114</v>
      </c>
      <c r="B23" s="177"/>
      <c r="C23" s="8"/>
      <c r="D23" s="177" t="s">
        <v>115</v>
      </c>
      <c r="E23" s="177"/>
      <c r="F23" s="177"/>
      <c r="G23" s="177"/>
      <c r="H23" s="177"/>
      <c r="I23" s="177"/>
    </row>
    <row r="24" spans="1:9" ht="15" customHeight="1" x14ac:dyDescent="0.25">
      <c r="A24" s="8"/>
      <c r="B24" s="8"/>
      <c r="C24" s="8"/>
      <c r="D24" s="8"/>
      <c r="E24" s="8"/>
      <c r="F24" s="8"/>
      <c r="G24" s="8"/>
      <c r="H24" s="8"/>
      <c r="I24" s="8"/>
    </row>
    <row r="25" spans="1:9" ht="21.75" customHeight="1" x14ac:dyDescent="0.25"/>
    <row r="27" spans="1:9" s="8" customFormat="1" ht="81.75" customHeight="1" x14ac:dyDescent="0.25"/>
    <row r="33" spans="1:3" ht="15.75" customHeight="1" x14ac:dyDescent="0.25">
      <c r="C33" s="17"/>
    </row>
    <row r="34" spans="1:3" ht="15.75" customHeight="1" x14ac:dyDescent="0.25">
      <c r="A34" s="1" t="s">
        <v>19</v>
      </c>
      <c r="B34" s="1" t="s">
        <v>28</v>
      </c>
      <c r="C34" s="17"/>
    </row>
    <row r="35" spans="1:3" ht="15" x14ac:dyDescent="0.25">
      <c r="A35" s="1" t="s">
        <v>20</v>
      </c>
      <c r="B35" s="1" t="s">
        <v>28</v>
      </c>
    </row>
    <row r="36" spans="1:3" ht="15" x14ac:dyDescent="0.25">
      <c r="A36" s="1" t="s">
        <v>21</v>
      </c>
      <c r="B36" s="1" t="s">
        <v>28</v>
      </c>
    </row>
    <row r="37" spans="1:3" ht="15" x14ac:dyDescent="0.25">
      <c r="A37" s="1" t="s">
        <v>22</v>
      </c>
    </row>
    <row r="38" spans="1:3" ht="15" x14ac:dyDescent="0.25">
      <c r="A38" s="1" t="s">
        <v>23</v>
      </c>
    </row>
    <row r="39" spans="1:3" ht="15" x14ac:dyDescent="0.25">
      <c r="A39" s="1" t="s">
        <v>24</v>
      </c>
    </row>
    <row r="40" spans="1:3" ht="15" x14ac:dyDescent="0.25">
      <c r="A40" s="1" t="s">
        <v>25</v>
      </c>
    </row>
    <row r="41" spans="1:3" ht="15" x14ac:dyDescent="0.25">
      <c r="A41" s="1" t="s">
        <v>26</v>
      </c>
    </row>
    <row r="42" spans="1:3" ht="15" x14ac:dyDescent="0.25">
      <c r="A42" s="1" t="s">
        <v>27</v>
      </c>
    </row>
  </sheetData>
  <mergeCells count="12">
    <mergeCell ref="A22:B22"/>
    <mergeCell ref="A23:B23"/>
    <mergeCell ref="D23:I23"/>
    <mergeCell ref="D22:I22"/>
    <mergeCell ref="D20:I20"/>
    <mergeCell ref="B1:H1"/>
    <mergeCell ref="A21:B21"/>
    <mergeCell ref="A20:B20"/>
    <mergeCell ref="C4:F4"/>
    <mergeCell ref="D21:I21"/>
    <mergeCell ref="D19:I19"/>
    <mergeCell ref="A19:B19"/>
  </mergeCells>
  <phoneticPr fontId="0" type="noConversion"/>
  <printOptions gridLines="1"/>
  <pageMargins left="0.5" right="0.25" top="1" bottom="1" header="0.5" footer="0.5"/>
  <pageSetup orientation="landscape" horizontalDpi="200" verticalDpi="2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Z90"/>
  <sheetViews>
    <sheetView showGridLines="0" showRowColHeaders="0" topLeftCell="A4"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x14ac:dyDescent="0.25">
      <c r="B1" s="16" t="s">
        <v>29</v>
      </c>
      <c r="D1" s="20" t="s">
        <v>30</v>
      </c>
      <c r="E1" s="14"/>
      <c r="F1" s="219" t="str">
        <f>'Data Entry'!I5</f>
        <v>Biracial or Other</v>
      </c>
      <c r="G1" s="219"/>
      <c r="H1" s="219"/>
      <c r="I1" s="219"/>
      <c r="J1" s="219"/>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Emmet</v>
      </c>
      <c r="C3" s="22"/>
      <c r="D3" s="22"/>
      <c r="E3" s="22"/>
      <c r="F3" s="22"/>
      <c r="G3" s="7"/>
      <c r="H3" s="7"/>
      <c r="I3" s="7"/>
      <c r="J3" s="7"/>
      <c r="K3" s="7"/>
      <c r="N3" s="218" t="s">
        <v>31</v>
      </c>
      <c r="O3" s="218"/>
      <c r="P3" s="218"/>
      <c r="Q3" s="218"/>
      <c r="R3" s="218"/>
      <c r="S3" s="218"/>
      <c r="T3" s="218"/>
      <c r="U3" s="218"/>
    </row>
    <row r="4" spans="2:21" ht="8.2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2357</v>
      </c>
      <c r="D6" s="34"/>
      <c r="E6" s="33">
        <f>'Data Entry'!I6</f>
        <v>0</v>
      </c>
      <c r="F6" s="34"/>
      <c r="G6" s="35"/>
      <c r="H6" s="36"/>
      <c r="I6" s="37"/>
      <c r="J6" s="38"/>
      <c r="K6" s="37"/>
      <c r="L6" s="1">
        <f>IF( ('Data Entry'!I6&gt;('Data Entry'!B6/100)),1,100)</f>
        <v>100</v>
      </c>
      <c r="M6" s="1" t="s">
        <v>50</v>
      </c>
      <c r="N6" s="21"/>
      <c r="O6" s="21"/>
      <c r="P6" s="21"/>
      <c r="Q6" s="21"/>
      <c r="R6" s="21"/>
      <c r="S6" s="30"/>
      <c r="T6" s="30"/>
      <c r="U6" s="31"/>
    </row>
    <row r="7" spans="2:21" ht="18" customHeight="1" x14ac:dyDescent="0.25">
      <c r="B7" s="32" t="str">
        <f>'Data Entry'!A7</f>
        <v xml:space="preserve">2. Juvenile Arrests </v>
      </c>
      <c r="C7" s="33">
        <f>'Data Entry'!C7</f>
        <v>3</v>
      </c>
      <c r="D7" s="34">
        <f>IF((AND(C66&gt;0,C7&gt;0)),(C7/C66),0)</f>
        <v>1.2728044123886295</v>
      </c>
      <c r="E7" s="33">
        <f>'Data Entry'!I7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3</v>
      </c>
      <c r="Q7" s="42">
        <f>C6-C7</f>
        <v>2354</v>
      </c>
      <c r="R7" s="42">
        <f t="shared" ref="R7:R15" si="5">SUM(N7:Q7)</f>
        <v>2357</v>
      </c>
      <c r="S7" s="30">
        <f t="shared" ref="S7:S15" si="6">R7*((((N7*Q7)-(O7*P7))^2))</f>
        <v>0</v>
      </c>
      <c r="T7" s="30">
        <f t="shared" ref="T7:T15" si="7">(N7+O7)*(P7+Q7)*(N7+P7)*(O7+Q7)</f>
        <v>0</v>
      </c>
      <c r="U7" s="31" t="str">
        <f t="shared" ref="U7:U15" si="8">IF((S7&gt;0),S7/T7,"- -")</f>
        <v>- -</v>
      </c>
    </row>
    <row r="8" spans="2:21" ht="18" customHeight="1" x14ac:dyDescent="0.25">
      <c r="B8" s="32" t="str">
        <f>'Data Entry'!A8</f>
        <v>3. Refer to Juvenile Court</v>
      </c>
      <c r="C8" s="33">
        <f>'Data Entry'!C8</f>
        <v>27</v>
      </c>
      <c r="D8" s="34">
        <f>IF((AND(C67&gt;0,C8&gt;0)),(C8/C67),0)</f>
        <v>900</v>
      </c>
      <c r="E8" s="33">
        <f>'Data Entry'!I8</f>
        <v>1</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1</v>
      </c>
      <c r="O8" s="42">
        <f>((D67*L67)-E8)+0.05</f>
        <v>-0.95</v>
      </c>
      <c r="P8" s="42">
        <f t="shared" si="4"/>
        <v>27</v>
      </c>
      <c r="Q8" s="42">
        <f>(C$67*L67)-C8</f>
        <v>-24</v>
      </c>
      <c r="R8" s="42">
        <f t="shared" si="5"/>
        <v>3.0500000000000007</v>
      </c>
      <c r="S8" s="30">
        <f t="shared" si="6"/>
        <v>8.3036249999999878</v>
      </c>
      <c r="T8" s="30">
        <f t="shared" si="7"/>
        <v>-104.79000000000009</v>
      </c>
      <c r="U8" s="31">
        <f t="shared" si="8"/>
        <v>-7.9240624105353374E-2</v>
      </c>
    </row>
    <row r="9" spans="2:21" ht="18" customHeight="1" x14ac:dyDescent="0.25">
      <c r="B9" s="32" t="str">
        <f>'Data Entry'!A9</f>
        <v xml:space="preserve">4. Cases Diverted </v>
      </c>
      <c r="C9" s="33">
        <f>'Data Entry'!C9</f>
        <v>1</v>
      </c>
      <c r="D9" s="34">
        <f>IF((AND(C68&gt;0,C9&gt;0)),((C9/C68)),0)</f>
        <v>3.7037037037037033</v>
      </c>
      <c r="E9" s="33">
        <f>'Data Entry'!I9</f>
        <v>0</v>
      </c>
      <c r="F9" s="34">
        <f>IF((AND($E$9&gt;0,$D$68&gt;0)),(($E$9/$D$68)),0)</f>
        <v>0</v>
      </c>
      <c r="G9" s="39" t="str">
        <f t="shared" si="0"/>
        <v>*</v>
      </c>
      <c r="H9" s="40"/>
      <c r="I9" s="41"/>
      <c r="J9" s="40">
        <f>IF((ABS($U9)&gt;Defaults!D$7),1,2)</f>
        <v>2</v>
      </c>
      <c r="K9" s="39">
        <f>IF((AND(N9&gt;Defaults!B$12,(N9+O9)&gt;Defaults!B$13, P9 &gt; Defaults!B$12, (P9+Q9) &gt; Defaults!B$13)),1,20)</f>
        <v>20</v>
      </c>
      <c r="L9" s="1">
        <f t="shared" si="1"/>
        <v>139</v>
      </c>
      <c r="M9" s="1" t="b">
        <f t="shared" si="2"/>
        <v>1</v>
      </c>
      <c r="N9" s="42">
        <f t="shared" si="3"/>
        <v>0</v>
      </c>
      <c r="O9" s="42">
        <f>(D$68*L68)-E9</f>
        <v>1</v>
      </c>
      <c r="P9" s="42">
        <f t="shared" si="4"/>
        <v>1</v>
      </c>
      <c r="Q9" s="42">
        <f>(C$68*L68)-C9</f>
        <v>26</v>
      </c>
      <c r="R9" s="42">
        <f t="shared" si="5"/>
        <v>28</v>
      </c>
      <c r="S9" s="30">
        <f t="shared" si="6"/>
        <v>28</v>
      </c>
      <c r="T9" s="30">
        <f t="shared" si="7"/>
        <v>729</v>
      </c>
      <c r="U9" s="31">
        <f t="shared" si="8"/>
        <v>3.8408779149519894E-2</v>
      </c>
    </row>
    <row r="10" spans="2:21" ht="18" customHeight="1" x14ac:dyDescent="0.25">
      <c r="B10" s="32" t="str">
        <f>'Data Entry'!A10</f>
        <v>5. Cases Involving Secure Detention</v>
      </c>
      <c r="C10" s="33">
        <f>'Data Entry'!C10</f>
        <v>2</v>
      </c>
      <c r="D10" s="34">
        <f>IF(((AND(C68&gt;0,C10&gt;0))),(C10/(C68)),0)</f>
        <v>7.4074074074074066</v>
      </c>
      <c r="E10" s="33">
        <f>'Data Entry'!I10</f>
        <v>0</v>
      </c>
      <c r="F10" s="34">
        <f>IF(((AND($E$10&gt;0,$D$68&gt;0))),($E$10/($D$68)),0)</f>
        <v>0</v>
      </c>
      <c r="G10" s="39" t="str">
        <f t="shared" si="0"/>
        <v>*</v>
      </c>
      <c r="H10" s="40"/>
      <c r="I10" s="41"/>
      <c r="J10" s="40">
        <f>IF((ABS($U10)&gt;Defaults!D$7),1,2)</f>
        <v>2</v>
      </c>
      <c r="K10" s="39">
        <f>IF((AND(N10&gt;Defaults!B$12,(N10+O10)&gt;Defaults!B$13, P10 &gt; Defaults!B$12, (P10+Q10) &gt; Defaults!B$13)),1,20)</f>
        <v>20</v>
      </c>
      <c r="L10" s="1">
        <f t="shared" si="1"/>
        <v>139</v>
      </c>
      <c r="M10" s="1" t="b">
        <f t="shared" si="2"/>
        <v>1</v>
      </c>
      <c r="N10" s="42">
        <f t="shared" si="3"/>
        <v>0</v>
      </c>
      <c r="O10" s="42">
        <f>(D$68*L68)-E10</f>
        <v>1</v>
      </c>
      <c r="P10" s="42">
        <f t="shared" si="4"/>
        <v>2</v>
      </c>
      <c r="Q10" s="42">
        <f>(C$68*L68)-C10</f>
        <v>25</v>
      </c>
      <c r="R10" s="42">
        <f t="shared" si="5"/>
        <v>28</v>
      </c>
      <c r="S10" s="30">
        <f t="shared" si="6"/>
        <v>112</v>
      </c>
      <c r="T10" s="30">
        <f t="shared" si="7"/>
        <v>1404</v>
      </c>
      <c r="U10" s="31">
        <f t="shared" si="8"/>
        <v>7.9772079772079771E-2</v>
      </c>
    </row>
    <row r="11" spans="2:21" ht="18" customHeight="1" x14ac:dyDescent="0.25">
      <c r="B11" s="32" t="str">
        <f>'Data Entry'!A11</f>
        <v>6. Cases Petitioned (Charge Filed)</v>
      </c>
      <c r="C11" s="33">
        <f>'Data Entry'!C11</f>
        <v>13</v>
      </c>
      <c r="D11" s="34">
        <f>IF(((AND(C68&gt;0,C11&gt;0))),(C11/(C68)),0)</f>
        <v>48.148148148148145</v>
      </c>
      <c r="E11" s="33">
        <f>'Data Entry'!I11</f>
        <v>1</v>
      </c>
      <c r="F11" s="34">
        <f>IF(((AND($E$11&gt;0,$D$68&gt;0))),($E$11/($D$68)),0)</f>
        <v>100</v>
      </c>
      <c r="G11" s="39" t="str">
        <f t="shared" si="0"/>
        <v>*</v>
      </c>
      <c r="H11" s="40"/>
      <c r="I11" s="41"/>
      <c r="J11" s="40">
        <f>IF((ABS($U11)&gt;Defaults!D$7),1,2)</f>
        <v>2</v>
      </c>
      <c r="K11" s="39">
        <f>IF((AND(N11&gt;Defaults!B$12,(N11+O11)&gt;Defaults!B$13, P11 &gt; Defaults!B$12, (P11+Q11) &gt; Defaults!B$13)),1,20)</f>
        <v>20</v>
      </c>
      <c r="L11" s="1">
        <f t="shared" si="1"/>
        <v>139</v>
      </c>
      <c r="M11" s="1" t="b">
        <f t="shared" si="2"/>
        <v>1</v>
      </c>
      <c r="N11" s="42">
        <f t="shared" si="3"/>
        <v>1</v>
      </c>
      <c r="O11" s="42">
        <f>(D$68*L68)-E11</f>
        <v>0</v>
      </c>
      <c r="P11" s="42">
        <f t="shared" si="4"/>
        <v>13</v>
      </c>
      <c r="Q11" s="42">
        <f>(C$68*L68)-C11</f>
        <v>14</v>
      </c>
      <c r="R11" s="42">
        <f t="shared" si="5"/>
        <v>28</v>
      </c>
      <c r="S11" s="30">
        <f t="shared" si="6"/>
        <v>5488</v>
      </c>
      <c r="T11" s="30">
        <f t="shared" si="7"/>
        <v>5292</v>
      </c>
      <c r="U11" s="31">
        <f t="shared" si="8"/>
        <v>1.037037037037037</v>
      </c>
    </row>
    <row r="12" spans="2:21" ht="18" customHeight="1" x14ac:dyDescent="0.25">
      <c r="B12" s="32" t="str">
        <f>'Data Entry'!A12</f>
        <v>7. Cases Resulting in Delinquent Findings</v>
      </c>
      <c r="C12" s="33">
        <f>'Data Entry'!C12</f>
        <v>12</v>
      </c>
      <c r="D12" s="34">
        <f>IF(((AND(C69&gt;0,C12&gt;0))),(C12/(C69)),0)</f>
        <v>92.307692307692307</v>
      </c>
      <c r="E12" s="33">
        <f>'Data Entry'!I12</f>
        <v>1</v>
      </c>
      <c r="F12" s="34">
        <f>IF(((AND($D$69&gt;0,$E$12&gt;0))),(E12/(D69)),0)</f>
        <v>100</v>
      </c>
      <c r="G12" s="39" t="str">
        <f t="shared" si="0"/>
        <v>*</v>
      </c>
      <c r="H12" s="40"/>
      <c r="I12" s="41"/>
      <c r="J12" s="40">
        <f>IF((ABS($U12)&gt;Defaults!D$7),1,2)</f>
        <v>2</v>
      </c>
      <c r="K12" s="39">
        <f>IF((AND(N12&gt;Defaults!B$12,(N12+O12)&gt;Defaults!B$13, P12 &gt; Defaults!B$12, (P12+Q12) &gt; Defaults!B$13)),1,20)</f>
        <v>20</v>
      </c>
      <c r="L12" s="1">
        <f t="shared" si="1"/>
        <v>139</v>
      </c>
      <c r="M12" s="1" t="b">
        <f t="shared" si="2"/>
        <v>1</v>
      </c>
      <c r="N12" s="42">
        <f t="shared" si="3"/>
        <v>1</v>
      </c>
      <c r="O12" s="42">
        <f>(D69*L69)-E12</f>
        <v>0</v>
      </c>
      <c r="P12" s="42">
        <f t="shared" si="4"/>
        <v>12</v>
      </c>
      <c r="Q12" s="42">
        <f>(C69*L69)-C12</f>
        <v>1</v>
      </c>
      <c r="R12" s="42">
        <f t="shared" si="5"/>
        <v>14</v>
      </c>
      <c r="S12" s="30">
        <f t="shared" si="6"/>
        <v>14</v>
      </c>
      <c r="T12" s="30">
        <f t="shared" si="7"/>
        <v>169</v>
      </c>
      <c r="U12" s="31">
        <f t="shared" si="8"/>
        <v>8.2840236686390539E-2</v>
      </c>
    </row>
    <row r="13" spans="2:21" ht="18" customHeight="1" x14ac:dyDescent="0.25">
      <c r="B13" s="32" t="str">
        <f>'Data Entry'!A13</f>
        <v>8. Cases Resulting in Probation Placement</v>
      </c>
      <c r="C13" s="33">
        <f>'Data Entry'!C13</f>
        <v>23</v>
      </c>
      <c r="D13" s="34">
        <f>IF(((AND(C70&gt;0,C13&gt;0))),(C13/(C70)),0)</f>
        <v>191.66666666666669</v>
      </c>
      <c r="E13" s="33">
        <f>'Data Entry'!I13</f>
        <v>1</v>
      </c>
      <c r="F13" s="34">
        <f>IF(((AND($D$70&gt;0,$E$13&gt;0))),($E$13/($D$70)),0)</f>
        <v>100</v>
      </c>
      <c r="G13" s="39" t="str">
        <f t="shared" si="0"/>
        <v>*</v>
      </c>
      <c r="H13" s="40"/>
      <c r="I13" s="41"/>
      <c r="J13" s="40">
        <f>IF((ABS($U13)&gt;Defaults!D$7),1,2)</f>
        <v>2</v>
      </c>
      <c r="K13" s="39">
        <f>IF((AND(N13&gt;Defaults!B$12,(N13+O13)&gt;Defaults!B$13, P13 &gt; Defaults!B$12, (P13+Q13) &gt; Defaults!B$13)),1,20)</f>
        <v>20</v>
      </c>
      <c r="L13" s="1">
        <f t="shared" si="1"/>
        <v>139</v>
      </c>
      <c r="M13" s="1" t="b">
        <f t="shared" si="2"/>
        <v>1</v>
      </c>
      <c r="N13" s="42">
        <f t="shared" si="3"/>
        <v>1</v>
      </c>
      <c r="O13" s="42">
        <f>(D70*L70)-E13</f>
        <v>0</v>
      </c>
      <c r="P13" s="42">
        <f t="shared" si="4"/>
        <v>23</v>
      </c>
      <c r="Q13" s="42">
        <f>(C70*L70)-C13</f>
        <v>-11</v>
      </c>
      <c r="R13" s="42">
        <f t="shared" si="5"/>
        <v>13</v>
      </c>
      <c r="S13" s="30">
        <f t="shared" si="6"/>
        <v>1573</v>
      </c>
      <c r="T13" s="30">
        <f t="shared" si="7"/>
        <v>-3168</v>
      </c>
      <c r="U13" s="31">
        <f t="shared" si="8"/>
        <v>-0.49652777777777779</v>
      </c>
    </row>
    <row r="14" spans="2:21" ht="30.75" customHeight="1" x14ac:dyDescent="0.25">
      <c r="B14" s="32" t="str">
        <f>'Data Entry'!A14</f>
        <v xml:space="preserve">9. Cases Resulting in Confinement in Secure Juvenile Correctional Facilities </v>
      </c>
      <c r="C14" s="33">
        <f>'Data Entry'!C14</f>
        <v>4</v>
      </c>
      <c r="D14" s="34">
        <f>IF(((AND(C70&gt;0,C14&gt;0))), ((C14/(C70))),0)</f>
        <v>33.333333333333336</v>
      </c>
      <c r="E14" s="33">
        <f>'Data Entry'!I14</f>
        <v>1</v>
      </c>
      <c r="F14" s="34">
        <f>IF(((AND($D$70&gt;0,$E$14&gt;0))), (($E$14/($D$70))),0)</f>
        <v>100</v>
      </c>
      <c r="G14" s="39" t="str">
        <f t="shared" si="0"/>
        <v>*</v>
      </c>
      <c r="H14" s="40"/>
      <c r="I14" s="41"/>
      <c r="J14" s="40">
        <f>IF((ABS($U14)&gt;Defaults!D$7),1,2)</f>
        <v>2</v>
      </c>
      <c r="K14" s="39">
        <f>IF((AND(N14&gt;Defaults!B$12,(N14+O14)&gt;Defaults!B$13, P14 &gt; Defaults!B$12, (P14+Q14) &gt; Defaults!B$13)),1,20)</f>
        <v>20</v>
      </c>
      <c r="L14" s="1">
        <f t="shared" si="1"/>
        <v>139</v>
      </c>
      <c r="M14" s="1" t="b">
        <f t="shared" si="2"/>
        <v>1</v>
      </c>
      <c r="N14" s="42">
        <f t="shared" si="3"/>
        <v>1</v>
      </c>
      <c r="O14" s="42">
        <f>(D70*L70)-E14</f>
        <v>0</v>
      </c>
      <c r="P14" s="42">
        <f t="shared" si="4"/>
        <v>4</v>
      </c>
      <c r="Q14" s="42">
        <f>(C70*L70)-C14</f>
        <v>8</v>
      </c>
      <c r="R14" s="42">
        <f t="shared" si="5"/>
        <v>13</v>
      </c>
      <c r="S14" s="30">
        <f t="shared" si="6"/>
        <v>832</v>
      </c>
      <c r="T14" s="30">
        <f t="shared" si="7"/>
        <v>480</v>
      </c>
      <c r="U14" s="31">
        <f t="shared" si="8"/>
        <v>1.7333333333333334</v>
      </c>
    </row>
    <row r="15" spans="2:21" ht="15.75" customHeight="1" x14ac:dyDescent="0.25">
      <c r="B15" s="32" t="str">
        <f>'Data Entry'!A15</f>
        <v xml:space="preserve">10. Cases Transferred to Adult Court </v>
      </c>
      <c r="C15" s="33">
        <f>'Data Entry'!C15</f>
        <v>0</v>
      </c>
      <c r="D15" s="34">
        <f>IF(((AND(C69&gt;0,C15&gt;0))),((C15/(C69))),0)</f>
        <v>0</v>
      </c>
      <c r="E15" s="33">
        <f>'Data Entry'!I15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1</v>
      </c>
      <c r="P15" s="42">
        <f t="shared" si="4"/>
        <v>0</v>
      </c>
      <c r="Q15" s="42">
        <f>(C69*L69)-C15</f>
        <v>13</v>
      </c>
      <c r="R15" s="42">
        <f t="shared" si="5"/>
        <v>14</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26.25" customHeight="1" x14ac:dyDescent="0.25">
      <c r="B17" s="62"/>
      <c r="C17" s="62"/>
      <c r="D17" s="62"/>
      <c r="E17" s="62"/>
      <c r="F17" s="62"/>
      <c r="G17" s="62"/>
      <c r="H17" s="62"/>
      <c r="I17" s="62"/>
      <c r="K17" s="1" t="s">
        <v>92</v>
      </c>
      <c r="L17" s="1" t="s">
        <v>93</v>
      </c>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26.25" customHeight="1" x14ac:dyDescent="0.25">
      <c r="B24" s="62"/>
      <c r="C24" s="62"/>
      <c r="D24" s="62"/>
      <c r="E24" s="62"/>
      <c r="F24" s="62"/>
      <c r="G24" s="62"/>
      <c r="H24" s="62"/>
      <c r="I24" s="62"/>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referrals</v>
      </c>
      <c r="G29" s="52"/>
      <c r="H29" s="52"/>
      <c r="I29" s="52"/>
      <c r="J29" s="52"/>
      <c r="K29" s="52"/>
      <c r="L29" s="53"/>
      <c r="R29" s="49"/>
    </row>
    <row r="30" spans="2:21" ht="15" customHeight="1" x14ac:dyDescent="0.25">
      <c r="B30" s="52" t="s">
        <v>73</v>
      </c>
      <c r="C30" s="52"/>
      <c r="D30" s="52"/>
      <c r="E30" s="52"/>
      <c r="F30" s="52" t="str">
        <f>B68</f>
        <v>per 100 referrals</v>
      </c>
      <c r="G30" s="52"/>
      <c r="H30" s="52"/>
      <c r="I30" s="52"/>
      <c r="J30" s="52"/>
      <c r="K30" s="52"/>
      <c r="L30" s="53"/>
      <c r="N30" s="1" t="b">
        <f>ISNUMBER(J14)</f>
        <v>1</v>
      </c>
      <c r="R30" s="49"/>
    </row>
    <row r="31" spans="2:21" ht="15" customHeight="1" x14ac:dyDescent="0.25">
      <c r="B31" s="52" t="s">
        <v>74</v>
      </c>
      <c r="C31" s="52"/>
      <c r="D31" s="52"/>
      <c r="E31" s="52"/>
      <c r="F31" s="52" t="str">
        <f>B68</f>
        <v>per 100 referrals</v>
      </c>
      <c r="G31" s="52"/>
      <c r="H31" s="52"/>
      <c r="I31" s="52"/>
      <c r="J31" s="52"/>
      <c r="K31" s="52"/>
      <c r="L31" s="53"/>
      <c r="R31" s="49"/>
    </row>
    <row r="32" spans="2:21" ht="15" customHeight="1" x14ac:dyDescent="0.25">
      <c r="B32" s="52" t="s">
        <v>75</v>
      </c>
      <c r="C32" s="52"/>
      <c r="D32" s="52"/>
      <c r="E32" s="52"/>
      <c r="F32" s="52" t="str">
        <f>B69</f>
        <v>per 100 youth petitioned</v>
      </c>
      <c r="G32" s="52"/>
      <c r="H32" s="52"/>
      <c r="I32" s="52"/>
      <c r="J32" s="52"/>
      <c r="K32" s="52"/>
      <c r="L32" s="53"/>
      <c r="R32" s="49"/>
    </row>
    <row r="33" spans="2:18" ht="15" customHeight="1" x14ac:dyDescent="0.25">
      <c r="B33" s="52" t="s">
        <v>76</v>
      </c>
      <c r="C33" s="52"/>
      <c r="D33" s="52"/>
      <c r="E33" s="52"/>
      <c r="F33" s="52" t="str">
        <f>B70</f>
        <v>per 100 youth found delinquent</v>
      </c>
      <c r="G33" s="52"/>
      <c r="H33" s="52"/>
      <c r="I33" s="52"/>
      <c r="J33" s="52"/>
      <c r="K33" s="52"/>
      <c r="L33" s="53"/>
      <c r="R33" s="49"/>
    </row>
    <row r="34" spans="2:18" ht="15" customHeight="1" x14ac:dyDescent="0.25">
      <c r="B34" s="52" t="s">
        <v>77</v>
      </c>
      <c r="C34" s="52"/>
      <c r="D34" s="52"/>
      <c r="E34" s="52"/>
      <c r="F34" s="52" t="str">
        <f>B70</f>
        <v>per 100 youth found delinquent</v>
      </c>
      <c r="G34" s="52"/>
      <c r="H34" s="52"/>
      <c r="I34" s="52"/>
      <c r="J34" s="52"/>
      <c r="K34" s="52"/>
      <c r="L34" s="53"/>
      <c r="R34" s="49"/>
    </row>
    <row r="35" spans="2:18" ht="15" customHeight="1" x14ac:dyDescent="0.25">
      <c r="B35" s="52" t="s">
        <v>78</v>
      </c>
      <c r="C35" s="52"/>
      <c r="D35" s="52"/>
      <c r="E35" s="52"/>
      <c r="F35" s="52" t="str">
        <f>B69</f>
        <v>per 100 youth petitioned</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2.3570000000000002</v>
      </c>
      <c r="D42" s="56">
        <f>E6/1000</f>
        <v>0</v>
      </c>
      <c r="E42" s="56">
        <f>MAX(C42:D42)</f>
        <v>2.3570000000000002</v>
      </c>
      <c r="G42" s="1" t="str">
        <f>B42</f>
        <v>per 1000 youth</v>
      </c>
      <c r="L42" s="57">
        <v>1000</v>
      </c>
      <c r="M42" s="57"/>
      <c r="R42" s="49"/>
    </row>
    <row r="43" spans="2:18" ht="15" hidden="1" customHeight="1" x14ac:dyDescent="0.25">
      <c r="B43" s="49" t="s">
        <v>87</v>
      </c>
      <c r="C43" s="56">
        <f>C7/100</f>
        <v>0.03</v>
      </c>
      <c r="D43" s="56">
        <f>E7/100</f>
        <v>0</v>
      </c>
      <c r="E43" s="56">
        <f>MAX(C43:D43,0)</f>
        <v>0.03</v>
      </c>
      <c r="G43" s="1" t="str">
        <f>B43</f>
        <v>per 100 arrests</v>
      </c>
      <c r="L43" s="57">
        <v>100</v>
      </c>
      <c r="M43" s="57"/>
      <c r="R43" s="49"/>
    </row>
    <row r="44" spans="2:18" ht="15" hidden="1" customHeight="1" x14ac:dyDescent="0.25">
      <c r="B44" s="49" t="s">
        <v>88</v>
      </c>
      <c r="C44" s="56">
        <f>C8/100</f>
        <v>0.27</v>
      </c>
      <c r="D44" s="56">
        <f>E8/100</f>
        <v>0.01</v>
      </c>
      <c r="E44" s="56">
        <f>MAX(C44:D44,0)</f>
        <v>0.27</v>
      </c>
      <c r="G44" s="1" t="str">
        <f>B44</f>
        <v>per 100 referrals</v>
      </c>
      <c r="L44" s="57">
        <v>100</v>
      </c>
      <c r="M44" s="57"/>
      <c r="R44" s="49"/>
    </row>
    <row r="45" spans="2:18" ht="15" hidden="1" customHeight="1" x14ac:dyDescent="0.25">
      <c r="B45" s="49" t="s">
        <v>89</v>
      </c>
      <c r="C45" s="49">
        <f>C11/100</f>
        <v>0.13</v>
      </c>
      <c r="D45" s="49">
        <f>E11/100</f>
        <v>0.01</v>
      </c>
      <c r="E45" s="56">
        <f>MAX(C45:D45,0)</f>
        <v>0.13</v>
      </c>
      <c r="G45" s="1" t="str">
        <f>B45</f>
        <v>per 100 youth petitioned</v>
      </c>
      <c r="L45" s="57">
        <v>100</v>
      </c>
      <c r="M45" s="57"/>
      <c r="R45" s="49"/>
    </row>
    <row r="46" spans="2:18" ht="15" hidden="1" customHeight="1" x14ac:dyDescent="0.25">
      <c r="B46" s="49" t="s">
        <v>90</v>
      </c>
      <c r="C46" s="49">
        <f>C12/100</f>
        <v>0.12</v>
      </c>
      <c r="D46" s="49">
        <f>E12/100</f>
        <v>0.01</v>
      </c>
      <c r="E46" s="56">
        <f>MAX(C46:D46)</f>
        <v>0.12</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2.3570000000000002</v>
      </c>
      <c r="D48" s="56">
        <f>D42</f>
        <v>0</v>
      </c>
      <c r="E48" s="56">
        <f>MAX(C48:D48)</f>
        <v>2.3570000000000002</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 t="shared" si="9"/>
        <v>0.03</v>
      </c>
      <c r="D49" s="49">
        <f t="shared" si="9"/>
        <v>0</v>
      </c>
      <c r="E49" s="49">
        <f>MAX(C49:D49)</f>
        <v>0.03</v>
      </c>
      <c r="G49" s="1" t="str">
        <f>G43</f>
        <v>per 100 arrests</v>
      </c>
      <c r="L49" s="58">
        <f>IF(($E43&gt;0),L43,L42)</f>
        <v>100</v>
      </c>
      <c r="M49" s="58"/>
      <c r="N49" s="21"/>
      <c r="O49" s="21"/>
      <c r="P49" s="21"/>
      <c r="Q49" s="21"/>
      <c r="R49" s="21"/>
    </row>
    <row r="50" spans="2:18" ht="15" hidden="1" customHeight="1" x14ac:dyDescent="0.25">
      <c r="B50" s="49" t="str">
        <f t="shared" si="9"/>
        <v>per 100 referrals</v>
      </c>
      <c r="C50" s="49">
        <f t="shared" si="9"/>
        <v>0.27</v>
      </c>
      <c r="D50" s="49">
        <f t="shared" si="9"/>
        <v>0.01</v>
      </c>
      <c r="E50" s="49">
        <f>MAX(C50:D50)</f>
        <v>0.27</v>
      </c>
      <c r="G50" s="1" t="str">
        <f>G44</f>
        <v>per 100 referrals</v>
      </c>
      <c r="L50" s="58">
        <f>IF(($E44&gt;0),L44,L43)</f>
        <v>100</v>
      </c>
      <c r="M50" s="58"/>
      <c r="N50" s="21"/>
      <c r="O50" s="21"/>
      <c r="P50" s="21"/>
      <c r="Q50" s="21"/>
      <c r="R50" s="21"/>
    </row>
    <row r="51" spans="2:18" ht="15" hidden="1" customHeight="1" x14ac:dyDescent="0.25">
      <c r="B51" s="49" t="str">
        <f>IF(($E45&gt;0),B45,B43)</f>
        <v>per 100 youth petitioned</v>
      </c>
      <c r="C51" s="49">
        <f>IF(($E45&gt;0),C45,C44)</f>
        <v>0.13</v>
      </c>
      <c r="D51" s="49">
        <f>IF(($E45&gt;0),D45,D44)</f>
        <v>0.01</v>
      </c>
      <c r="E51" s="49">
        <f>MAX(C51:D51)</f>
        <v>0.13</v>
      </c>
      <c r="G51" s="1" t="str">
        <f>G45</f>
        <v>per 100 youth petitioned</v>
      </c>
      <c r="L51" s="58">
        <f>IF(($E45&gt;0),L45,L44)</f>
        <v>100</v>
      </c>
      <c r="M51" s="58"/>
    </row>
    <row r="52" spans="2:18" ht="15" hidden="1" customHeight="1" x14ac:dyDescent="0.25">
      <c r="B52" s="49" t="str">
        <f>IF(($E46&gt;0),B46,B45)</f>
        <v>per 100 youth found delinquent</v>
      </c>
      <c r="C52" s="49">
        <f>IF(($E46&gt;0),C46,C45)</f>
        <v>0.12</v>
      </c>
      <c r="D52" s="49">
        <f>IF(($E46&gt;0),D46,D45)</f>
        <v>0.01</v>
      </c>
      <c r="E52" s="56">
        <f>MAX(C52:D52)</f>
        <v>0.12</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2.3570000000000002</v>
      </c>
      <c r="D54" s="56">
        <f>D48</f>
        <v>0</v>
      </c>
      <c r="E54" s="56">
        <f>MAX(C54:D54)</f>
        <v>2.3570000000000002</v>
      </c>
      <c r="G54" s="1" t="str">
        <f>G48</f>
        <v>per 1000 youth</v>
      </c>
      <c r="L54" s="58">
        <f>L48</f>
        <v>1000</v>
      </c>
      <c r="M54" s="58"/>
    </row>
    <row r="55" spans="2:18" ht="15" hidden="1" customHeight="1" x14ac:dyDescent="0.25">
      <c r="B55" s="49" t="str">
        <f t="shared" ref="B55:D56" si="10">IF(($E49&gt;0),B49,B48)</f>
        <v>per 100 arrests</v>
      </c>
      <c r="C55" s="49">
        <f t="shared" si="10"/>
        <v>0.03</v>
      </c>
      <c r="D55" s="49">
        <f t="shared" si="10"/>
        <v>0</v>
      </c>
      <c r="E55" s="49">
        <f>MAX(C55:D55)</f>
        <v>0.03</v>
      </c>
      <c r="G55" s="1" t="str">
        <f>G49</f>
        <v>per 100 arrests</v>
      </c>
      <c r="L55" s="58">
        <f>IF(($E49&gt;0),L49,L48)</f>
        <v>100</v>
      </c>
      <c r="M55" s="58"/>
    </row>
    <row r="56" spans="2:18" ht="15" hidden="1" customHeight="1" x14ac:dyDescent="0.25">
      <c r="B56" s="49" t="str">
        <f t="shared" si="10"/>
        <v>per 100 referrals</v>
      </c>
      <c r="C56" s="49">
        <f t="shared" si="10"/>
        <v>0.27</v>
      </c>
      <c r="D56" s="49">
        <f t="shared" si="10"/>
        <v>0.01</v>
      </c>
      <c r="E56" s="49">
        <f>MAX(C56:D56)</f>
        <v>0.27</v>
      </c>
      <c r="G56" s="1" t="str">
        <f>G50</f>
        <v>per 100 referrals</v>
      </c>
      <c r="L56" s="58">
        <f>IF(($E50&gt;0),L50,L49)</f>
        <v>100</v>
      </c>
      <c r="M56" s="58"/>
    </row>
    <row r="57" spans="2:18" ht="15" hidden="1" customHeight="1" x14ac:dyDescent="0.25">
      <c r="B57" s="49" t="str">
        <f>IF(($E51&gt;0),B51,B49)</f>
        <v>per 100 youth petitioned</v>
      </c>
      <c r="C57" s="49">
        <f>IF(($E51&gt;0),C51,C50)</f>
        <v>0.13</v>
      </c>
      <c r="D57" s="49">
        <f>IF(($E51&gt;0),D51,D50)</f>
        <v>0.01</v>
      </c>
      <c r="E57" s="49">
        <f>MAX(C57:D57)</f>
        <v>0.13</v>
      </c>
      <c r="G57" s="1" t="str">
        <f>G51</f>
        <v>per 100 youth petitioned</v>
      </c>
      <c r="L57" s="58">
        <f>IF(($E51&gt;0),L51,L50)</f>
        <v>100</v>
      </c>
      <c r="M57" s="58"/>
    </row>
    <row r="58" spans="2:18" ht="15" hidden="1" customHeight="1" x14ac:dyDescent="0.25">
      <c r="B58" s="49" t="str">
        <f>IF(($E52&gt;0),B52,B51)</f>
        <v>per 100 youth found delinquent</v>
      </c>
      <c r="C58" s="49">
        <f>IF(($E52&gt;0),C52,C51)</f>
        <v>0.12</v>
      </c>
      <c r="D58" s="49">
        <f>IF(($E52&gt;0),D52,D51)</f>
        <v>0.01</v>
      </c>
      <c r="E58" s="56">
        <f>MAX(C58:D58)</f>
        <v>0.12</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2.3570000000000002</v>
      </c>
      <c r="D60" s="56">
        <f>D54</f>
        <v>0</v>
      </c>
      <c r="E60" s="56">
        <f>MAX(C60:D60)</f>
        <v>2.3570000000000002</v>
      </c>
      <c r="G60" s="1" t="str">
        <f>G54</f>
        <v>per 1000 youth</v>
      </c>
      <c r="L60" s="58">
        <f>L54</f>
        <v>1000</v>
      </c>
      <c r="M60" s="58"/>
    </row>
    <row r="61" spans="2:18" ht="15" hidden="1" customHeight="1" x14ac:dyDescent="0.25">
      <c r="B61" s="49" t="str">
        <f t="shared" ref="B61:D62" si="11">IF(($E55&gt;0),B55,B54)</f>
        <v>per 100 arrests</v>
      </c>
      <c r="C61" s="49">
        <f t="shared" si="11"/>
        <v>0.03</v>
      </c>
      <c r="D61" s="49">
        <f t="shared" si="11"/>
        <v>0</v>
      </c>
      <c r="E61" s="49">
        <f>MAX(C61:D61)</f>
        <v>0.03</v>
      </c>
      <c r="G61" s="1" t="str">
        <f>G55</f>
        <v>per 100 arrests</v>
      </c>
      <c r="L61" s="58">
        <f>IF(($E55&gt;0),L55,L54)</f>
        <v>100</v>
      </c>
      <c r="M61" s="58"/>
    </row>
    <row r="62" spans="2:18" ht="15" hidden="1" customHeight="1" x14ac:dyDescent="0.25">
      <c r="B62" s="49" t="str">
        <f t="shared" si="11"/>
        <v>per 100 referrals</v>
      </c>
      <c r="C62" s="49">
        <f t="shared" si="11"/>
        <v>0.27</v>
      </c>
      <c r="D62" s="49">
        <f t="shared" si="11"/>
        <v>0.01</v>
      </c>
      <c r="E62" s="49">
        <f>MAX(C62:D62)</f>
        <v>0.27</v>
      </c>
      <c r="G62" s="1" t="str">
        <f>G56</f>
        <v>per 100 referrals</v>
      </c>
      <c r="L62" s="58">
        <f>IF(($E56&gt;0),L56,L55)</f>
        <v>100</v>
      </c>
      <c r="M62" s="58"/>
    </row>
    <row r="63" spans="2:18" ht="15" hidden="1" customHeight="1" x14ac:dyDescent="0.25">
      <c r="B63" s="49" t="str">
        <f>IF(($E57&gt;0),B57,B55)</f>
        <v>per 100 youth petitioned</v>
      </c>
      <c r="C63" s="49">
        <f>IF(($E57&gt;0),C57,C56)</f>
        <v>0.13</v>
      </c>
      <c r="D63" s="49">
        <f>IF(($E57&gt;0),D57,D56)</f>
        <v>0.01</v>
      </c>
      <c r="E63" s="49">
        <f>MAX(C63:D63)</f>
        <v>0.13</v>
      </c>
      <c r="G63" s="1" t="str">
        <f>G57</f>
        <v>per 100 youth petitioned</v>
      </c>
      <c r="L63" s="58">
        <f>IF(($E57&gt;0),L57,L56)</f>
        <v>100</v>
      </c>
      <c r="M63" s="58"/>
    </row>
    <row r="64" spans="2:18" ht="15" hidden="1" customHeight="1" x14ac:dyDescent="0.25">
      <c r="B64" s="49" t="str">
        <f>IF(($E58&gt;0),B58,B57)</f>
        <v>per 100 youth found delinquent</v>
      </c>
      <c r="C64" s="49">
        <f>IF(($E58&gt;0),C58,C57)</f>
        <v>0.12</v>
      </c>
      <c r="D64" s="49">
        <f>IF(($E58&gt;0),D58,D57)</f>
        <v>0.01</v>
      </c>
      <c r="E64" s="56">
        <f>MAX(C64:D64)</f>
        <v>0.12</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2.3570000000000002</v>
      </c>
      <c r="D66" s="56">
        <f>D60</f>
        <v>0</v>
      </c>
      <c r="E66" s="56">
        <f>MAX(C66:D66)</f>
        <v>2.3570000000000002</v>
      </c>
      <c r="G66" s="1" t="str">
        <f>G60</f>
        <v>per 1000 youth</v>
      </c>
      <c r="L66" s="58">
        <f>L60</f>
        <v>1000</v>
      </c>
      <c r="M66" s="58">
        <f>IF((B66=G66),1,2)</f>
        <v>1</v>
      </c>
    </row>
    <row r="67" spans="2:13" ht="15" hidden="1" customHeight="1" x14ac:dyDescent="0.25">
      <c r="B67" s="49" t="str">
        <f t="shared" ref="B67:D68" si="12">IF(($E61&gt;0),B61,B60)</f>
        <v>per 100 arrests</v>
      </c>
      <c r="C67" s="49">
        <f t="shared" si="12"/>
        <v>0.03</v>
      </c>
      <c r="D67" s="49">
        <f t="shared" si="12"/>
        <v>0</v>
      </c>
      <c r="E67" s="49">
        <f>MAX(C67:D67)</f>
        <v>0.03</v>
      </c>
      <c r="G67" s="1" t="str">
        <f>G61</f>
        <v>per 100 arrests</v>
      </c>
      <c r="L67" s="58">
        <f>IF(($E61&gt;0),L61,L60)</f>
        <v>100</v>
      </c>
      <c r="M67" s="58">
        <f>IF((B67=G67),1,2)</f>
        <v>1</v>
      </c>
    </row>
    <row r="68" spans="2:13" ht="15" hidden="1" customHeight="1" x14ac:dyDescent="0.25">
      <c r="B68" s="49" t="str">
        <f t="shared" si="12"/>
        <v>per 100 referrals</v>
      </c>
      <c r="C68" s="49">
        <f t="shared" si="12"/>
        <v>0.27</v>
      </c>
      <c r="D68" s="49">
        <f t="shared" si="12"/>
        <v>0.01</v>
      </c>
      <c r="E68" s="49">
        <f>MAX(C68:D68)</f>
        <v>0.27</v>
      </c>
      <c r="G68" s="1" t="str">
        <f>G62</f>
        <v>per 100 referrals</v>
      </c>
      <c r="L68" s="58">
        <f>IF(($E62&gt;0),L62,L61)</f>
        <v>100</v>
      </c>
      <c r="M68" s="58">
        <f>IF((B68=G68),1,2)</f>
        <v>1</v>
      </c>
    </row>
    <row r="69" spans="2:13" ht="15" hidden="1" customHeight="1" x14ac:dyDescent="0.25">
      <c r="B69" s="49" t="str">
        <f>IF(($E63&gt;0),B63,B61)</f>
        <v>per 100 youth petitioned</v>
      </c>
      <c r="C69" s="49">
        <f>IF(($E63&gt;0),C63,C62)</f>
        <v>0.13</v>
      </c>
      <c r="D69" s="49">
        <f>IF(($E63&gt;0),D63,D62)</f>
        <v>0.01</v>
      </c>
      <c r="E69" s="49">
        <f>MAX(C69:D69)</f>
        <v>0.13</v>
      </c>
      <c r="G69" s="1" t="str">
        <f>G63</f>
        <v>per 100 youth petitioned</v>
      </c>
      <c r="L69" s="58">
        <f>IF(($E63&gt;0),L63,L62)</f>
        <v>100</v>
      </c>
      <c r="M69" s="58">
        <f>IF((B69=G69),1,2)</f>
        <v>1</v>
      </c>
    </row>
    <row r="70" spans="2:13" ht="15" hidden="1" customHeight="1" x14ac:dyDescent="0.25">
      <c r="B70" s="49" t="str">
        <f>IF(($E64&gt;0),B64,B63)</f>
        <v>per 100 youth found delinquent</v>
      </c>
      <c r="C70" s="49">
        <f>IF(($E64&gt;0),C64,C63)</f>
        <v>0.12</v>
      </c>
      <c r="D70" s="49">
        <f>IF(($E64&gt;0),D64,D63)</f>
        <v>0.01</v>
      </c>
      <c r="E70" s="56">
        <f>MAX(C70:D70)</f>
        <v>0.12</v>
      </c>
      <c r="G70" s="1" t="str">
        <f>G64</f>
        <v>per 100 youth found delinquent</v>
      </c>
      <c r="L70" s="58">
        <f>IF(($E64&gt;0),L64,L63)</f>
        <v>100</v>
      </c>
      <c r="M70" s="58">
        <f>IF((B70=G70),1,2)</f>
        <v>1</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F28">
    <cfRule type="expression" dxfId="29" priority="1" stopIfTrue="1">
      <formula>M67=2</formula>
    </cfRule>
  </conditionalFormatting>
  <conditionalFormatting sqref="G7:G15">
    <cfRule type="expression" dxfId="28" priority="2" stopIfTrue="1">
      <formula>$L7=1</formula>
    </cfRule>
    <cfRule type="expression" dxfId="27" priority="3" stopIfTrue="1">
      <formula>$L7=2</formula>
    </cfRule>
    <cfRule type="expression" dxfId="26" priority="4" stopIfTrue="1">
      <formula>$L7&gt;3</formula>
    </cfRule>
  </conditionalFormatting>
  <conditionalFormatting sqref="F27">
    <cfRule type="expression" dxfId="25" priority="5" stopIfTrue="1">
      <formula>M66=2</formula>
    </cfRule>
  </conditionalFormatting>
  <conditionalFormatting sqref="F29">
    <cfRule type="expression" dxfId="24" priority="6" stopIfTrue="1">
      <formula>M68 = 2</formula>
    </cfRule>
  </conditionalFormatting>
  <conditionalFormatting sqref="F30">
    <cfRule type="expression" dxfId="23" priority="7" stopIfTrue="1">
      <formula>M68 = 2</formula>
    </cfRule>
  </conditionalFormatting>
  <conditionalFormatting sqref="F31">
    <cfRule type="expression" dxfId="22" priority="8" stopIfTrue="1">
      <formula>M68 = 2</formula>
    </cfRule>
  </conditionalFormatting>
  <conditionalFormatting sqref="F32:F33">
    <cfRule type="expression" dxfId="21" priority="9" stopIfTrue="1">
      <formula>M69=2</formula>
    </cfRule>
  </conditionalFormatting>
  <conditionalFormatting sqref="F34">
    <cfRule type="expression" dxfId="20" priority="10" stopIfTrue="1">
      <formula>M70 = 2</formula>
    </cfRule>
  </conditionalFormatting>
  <conditionalFormatting sqref="F35">
    <cfRule type="expression" dxfId="19" priority="11" stopIfTrue="1">
      <formula>M69=2</formula>
    </cfRule>
  </conditionalFormatting>
  <conditionalFormatting sqref="B86">
    <cfRule type="expression" dxfId="18" priority="12" stopIfTrue="1">
      <formula>$D$83= 2</formula>
    </cfRule>
  </conditionalFormatting>
  <pageMargins left="0.53" right="0.42" top="0.75" bottom="0.5" header="0" footer="0"/>
  <pageSetup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Z90"/>
  <sheetViews>
    <sheetView showGridLines="0" showRowColHeaders="0"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x14ac:dyDescent="0.25">
      <c r="B1" s="16" t="s">
        <v>29</v>
      </c>
      <c r="D1" s="20" t="s">
        <v>30</v>
      </c>
      <c r="E1" s="14"/>
      <c r="F1" s="219" t="str">
        <f>'Data Entry'!J5</f>
        <v>All Minorities</v>
      </c>
      <c r="G1" s="219"/>
      <c r="H1" s="219"/>
      <c r="I1" s="219"/>
      <c r="J1" s="219"/>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Emmet</v>
      </c>
      <c r="C3" s="22"/>
      <c r="D3" s="22"/>
      <c r="E3" s="22"/>
      <c r="F3" s="22"/>
      <c r="G3" s="7"/>
      <c r="H3" s="7"/>
      <c r="I3" s="7"/>
      <c r="J3" s="7"/>
      <c r="K3" s="7"/>
      <c r="N3" s="218" t="s">
        <v>31</v>
      </c>
      <c r="O3" s="218"/>
      <c r="P3" s="218"/>
      <c r="Q3" s="218"/>
      <c r="R3" s="218"/>
      <c r="S3" s="218"/>
      <c r="T3" s="218"/>
      <c r="U3" s="218"/>
    </row>
    <row r="4" spans="2:21" ht="8.2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2357</v>
      </c>
      <c r="D6" s="34"/>
      <c r="E6" s="33">
        <f>'Data Entry'!J6</f>
        <v>272</v>
      </c>
      <c r="F6" s="34"/>
      <c r="G6" s="35"/>
      <c r="H6" s="36"/>
      <c r="I6" s="37"/>
      <c r="J6" s="38"/>
      <c r="K6" s="37"/>
      <c r="L6" s="1">
        <f>IF( ('Data Entry'!J6&gt;('Data Entry'!B6/100)),1,100)</f>
        <v>1</v>
      </c>
      <c r="M6" s="1" t="s">
        <v>50</v>
      </c>
      <c r="N6" s="21"/>
      <c r="O6" s="21"/>
      <c r="P6" s="21"/>
      <c r="Q6" s="21"/>
      <c r="R6" s="21"/>
      <c r="S6" s="30"/>
      <c r="T6" s="30"/>
      <c r="U6" s="31"/>
    </row>
    <row r="7" spans="2:21" ht="18" customHeight="1" x14ac:dyDescent="0.25">
      <c r="B7" s="32" t="str">
        <f>'Data Entry'!A7</f>
        <v xml:space="preserve">2. Juvenile Arrests </v>
      </c>
      <c r="C7" s="33">
        <f>'Data Entry'!C7</f>
        <v>3</v>
      </c>
      <c r="D7" s="34">
        <f>IF((AND(C66&gt;0,C7&gt;0)),(C7/C66),0)</f>
        <v>1.2728044123886295</v>
      </c>
      <c r="E7" s="33">
        <f>'Data Entry'!J7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0</v>
      </c>
      <c r="O7" s="42">
        <f>E6-E7</f>
        <v>272</v>
      </c>
      <c r="P7" s="42">
        <f t="shared" ref="P7:P15" si="4">C7</f>
        <v>3</v>
      </c>
      <c r="Q7" s="42">
        <f>C6-C7</f>
        <v>2354</v>
      </c>
      <c r="R7" s="42">
        <f t="shared" ref="R7:R15" si="5">SUM(N7:Q7)</f>
        <v>2629</v>
      </c>
      <c r="S7" s="30">
        <f t="shared" ref="S7:S15" si="6">R7*((((N7*Q7)-(O7*P7))^2))</f>
        <v>1750535424</v>
      </c>
      <c r="T7" s="30">
        <f t="shared" ref="T7:T15" si="7">(N7+O7)*(P7+Q7)*(N7+P7)*(O7+Q7)</f>
        <v>5050617312</v>
      </c>
      <c r="U7" s="31">
        <f t="shared" ref="U7:U15" si="8">IF((S7&gt;0),S7/T7,"- -")</f>
        <v>0.34659830984240686</v>
      </c>
    </row>
    <row r="8" spans="2:21" ht="18" customHeight="1" x14ac:dyDescent="0.25">
      <c r="B8" s="32" t="str">
        <f>'Data Entry'!A8</f>
        <v>3. Refer to Juvenile Court</v>
      </c>
      <c r="C8" s="33">
        <f>'Data Entry'!C8</f>
        <v>27</v>
      </c>
      <c r="D8" s="34">
        <f>IF((AND(C67&gt;0,C8&gt;0)),(C8/C67),0)</f>
        <v>900</v>
      </c>
      <c r="E8" s="33">
        <f>'Data Entry'!J8</f>
        <v>2</v>
      </c>
      <c r="F8" s="34">
        <f>IF((AND($E$8&gt;0,$D$67&gt;0)),($E8/$D67),0)</f>
        <v>0</v>
      </c>
      <c r="G8" s="39" t="str">
        <f t="shared" si="0"/>
        <v>**</v>
      </c>
      <c r="H8" s="40"/>
      <c r="I8" s="41"/>
      <c r="J8" s="40">
        <f>IF((ABS($U8)&gt;Defaults!D$7),1,2)</f>
        <v>2</v>
      </c>
      <c r="K8" s="39">
        <f>IF((AND(N8&gt;Defaults!B$12,(N8+O8)&gt;Defaults!B$13, P8 &gt; Defaults!B$12, (P8+Q8) &gt; Defaults!B$13)),1,20)</f>
        <v>20</v>
      </c>
      <c r="L8" s="1">
        <f t="shared" si="1"/>
        <v>40</v>
      </c>
      <c r="M8" s="1" t="b">
        <f t="shared" si="2"/>
        <v>1</v>
      </c>
      <c r="N8" s="42">
        <f t="shared" si="3"/>
        <v>2</v>
      </c>
      <c r="O8" s="42">
        <f>((D67*L67)-E8)+0.05</f>
        <v>-1.95</v>
      </c>
      <c r="P8" s="42">
        <f t="shared" si="4"/>
        <v>27</v>
      </c>
      <c r="Q8" s="42">
        <f>(C$67*L67)-C8</f>
        <v>-24</v>
      </c>
      <c r="R8" s="42">
        <f t="shared" si="5"/>
        <v>3.0500000000000007</v>
      </c>
      <c r="S8" s="30">
        <f t="shared" si="6"/>
        <v>65.948624999999979</v>
      </c>
      <c r="T8" s="30">
        <f t="shared" si="7"/>
        <v>-112.88250000000011</v>
      </c>
      <c r="U8" s="31">
        <f t="shared" si="8"/>
        <v>-0.58422363962527335</v>
      </c>
    </row>
    <row r="9" spans="2:21" ht="18" customHeight="1" x14ac:dyDescent="0.25">
      <c r="B9" s="32" t="str">
        <f>'Data Entry'!A9</f>
        <v xml:space="preserve">4. Cases Diverted </v>
      </c>
      <c r="C9" s="33">
        <f>'Data Entry'!C9</f>
        <v>1</v>
      </c>
      <c r="D9" s="34">
        <f>IF((AND(C68&gt;0,C9&gt;0)),((C9/C68)),0)</f>
        <v>3.7037037037037033</v>
      </c>
      <c r="E9" s="33">
        <f>'Data Entry'!J9</f>
        <v>0</v>
      </c>
      <c r="F9" s="34">
        <f>IF((AND($E$9&gt;0,$D$68&gt;0)),(($E$9/$D$68)),0)</f>
        <v>0</v>
      </c>
      <c r="G9" s="39" t="str">
        <f t="shared" si="0"/>
        <v>**</v>
      </c>
      <c r="H9" s="40"/>
      <c r="I9" s="41"/>
      <c r="J9" s="40">
        <f>IF((ABS($U9)&gt;Defaults!D$7),1,2)</f>
        <v>2</v>
      </c>
      <c r="K9" s="39">
        <f>IF((AND(N9&gt;Defaults!B$12,(N9+O9)&gt;Defaults!B$13, P9 &gt; Defaults!B$12, (P9+Q9) &gt; Defaults!B$13)),1,20)</f>
        <v>20</v>
      </c>
      <c r="L9" s="1">
        <f t="shared" si="1"/>
        <v>40</v>
      </c>
      <c r="M9" s="1" t="b">
        <f t="shared" si="2"/>
        <v>1</v>
      </c>
      <c r="N9" s="42">
        <f t="shared" si="3"/>
        <v>0</v>
      </c>
      <c r="O9" s="42">
        <f>(D$68*L68)-E9</f>
        <v>2</v>
      </c>
      <c r="P9" s="42">
        <f t="shared" si="4"/>
        <v>1</v>
      </c>
      <c r="Q9" s="42">
        <f>(C$68*L68)-C9</f>
        <v>26</v>
      </c>
      <c r="R9" s="42">
        <f t="shared" si="5"/>
        <v>29</v>
      </c>
      <c r="S9" s="30">
        <f t="shared" si="6"/>
        <v>116</v>
      </c>
      <c r="T9" s="30">
        <f t="shared" si="7"/>
        <v>1512</v>
      </c>
      <c r="U9" s="31">
        <f t="shared" si="8"/>
        <v>7.6719576719576715E-2</v>
      </c>
    </row>
    <row r="10" spans="2:21" ht="18" customHeight="1" x14ac:dyDescent="0.25">
      <c r="B10" s="32" t="str">
        <f>'Data Entry'!A10</f>
        <v>5. Cases Involving Secure Detention</v>
      </c>
      <c r="C10" s="33">
        <f>'Data Entry'!C10</f>
        <v>2</v>
      </c>
      <c r="D10" s="34">
        <f>IF(((AND(C68&gt;0,C10&gt;0))),(C10/(C68)),0)</f>
        <v>7.4074074074074066</v>
      </c>
      <c r="E10" s="33">
        <f>'Data Entry'!J10</f>
        <v>0</v>
      </c>
      <c r="F10" s="34">
        <f>IF(((AND($E$10&gt;0,$D$68&gt;0))),($E$10/($D$68)),0)</f>
        <v>0</v>
      </c>
      <c r="G10" s="39" t="str">
        <f t="shared" si="0"/>
        <v>**</v>
      </c>
      <c r="H10" s="40"/>
      <c r="I10" s="41"/>
      <c r="J10" s="40">
        <f>IF((ABS($U10)&gt;Defaults!D$7),1,2)</f>
        <v>2</v>
      </c>
      <c r="K10" s="39">
        <f>IF((AND(N10&gt;Defaults!B$12,(N10+O10)&gt;Defaults!B$13, P10 &gt; Defaults!B$12, (P10+Q10) &gt; Defaults!B$13)),1,20)</f>
        <v>20</v>
      </c>
      <c r="L10" s="1">
        <f t="shared" si="1"/>
        <v>40</v>
      </c>
      <c r="M10" s="1" t="b">
        <f t="shared" si="2"/>
        <v>1</v>
      </c>
      <c r="N10" s="42">
        <f t="shared" si="3"/>
        <v>0</v>
      </c>
      <c r="O10" s="42">
        <f>(D$68*L68)-E10</f>
        <v>2</v>
      </c>
      <c r="P10" s="42">
        <f t="shared" si="4"/>
        <v>2</v>
      </c>
      <c r="Q10" s="42">
        <f>(C$68*L68)-C10</f>
        <v>25</v>
      </c>
      <c r="R10" s="42">
        <f t="shared" si="5"/>
        <v>29</v>
      </c>
      <c r="S10" s="30">
        <f t="shared" si="6"/>
        <v>464</v>
      </c>
      <c r="T10" s="30">
        <f t="shared" si="7"/>
        <v>2916</v>
      </c>
      <c r="U10" s="31">
        <f t="shared" si="8"/>
        <v>0.15912208504801098</v>
      </c>
    </row>
    <row r="11" spans="2:21" ht="18" customHeight="1" x14ac:dyDescent="0.25">
      <c r="B11" s="32" t="str">
        <f>'Data Entry'!A11</f>
        <v>6. Cases Petitioned (Charge Filed)</v>
      </c>
      <c r="C11" s="33">
        <f>'Data Entry'!C11</f>
        <v>13</v>
      </c>
      <c r="D11" s="34">
        <f>IF(((AND(C68&gt;0,C11&gt;0))),(C11/(C68)),0)</f>
        <v>48.148148148148145</v>
      </c>
      <c r="E11" s="33">
        <f>'Data Entry'!J11</f>
        <v>2</v>
      </c>
      <c r="F11" s="34">
        <f>IF(((AND($E$11&gt;0,$D$68&gt;0))),($E$11/($D$68)),0)</f>
        <v>100</v>
      </c>
      <c r="G11" s="39" t="str">
        <f t="shared" si="0"/>
        <v>**</v>
      </c>
      <c r="H11" s="40"/>
      <c r="I11" s="41"/>
      <c r="J11" s="40">
        <f>IF((ABS($U11)&gt;Defaults!D$7),1,2)</f>
        <v>2</v>
      </c>
      <c r="K11" s="39">
        <f>IF((AND(N11&gt;Defaults!B$12,(N11+O11)&gt;Defaults!B$13, P11 &gt; Defaults!B$12, (P11+Q11) &gt; Defaults!B$13)),1,20)</f>
        <v>20</v>
      </c>
      <c r="L11" s="1">
        <f t="shared" si="1"/>
        <v>40</v>
      </c>
      <c r="M11" s="1" t="b">
        <f t="shared" si="2"/>
        <v>1</v>
      </c>
      <c r="N11" s="42">
        <f t="shared" si="3"/>
        <v>2</v>
      </c>
      <c r="O11" s="42">
        <f>(D$68*L68)-E11</f>
        <v>0</v>
      </c>
      <c r="P11" s="42">
        <f t="shared" si="4"/>
        <v>13</v>
      </c>
      <c r="Q11" s="42">
        <f>(C$68*L68)-C11</f>
        <v>14</v>
      </c>
      <c r="R11" s="42">
        <f t="shared" si="5"/>
        <v>29</v>
      </c>
      <c r="S11" s="30">
        <f t="shared" si="6"/>
        <v>22736</v>
      </c>
      <c r="T11" s="30">
        <f t="shared" si="7"/>
        <v>11340</v>
      </c>
      <c r="U11" s="31">
        <f t="shared" si="8"/>
        <v>2.0049382716049382</v>
      </c>
    </row>
    <row r="12" spans="2:21" ht="18" customHeight="1" x14ac:dyDescent="0.25">
      <c r="B12" s="32" t="str">
        <f>'Data Entry'!A12</f>
        <v>7. Cases Resulting in Delinquent Findings</v>
      </c>
      <c r="C12" s="33">
        <f>'Data Entry'!C12</f>
        <v>12</v>
      </c>
      <c r="D12" s="34">
        <f>IF(((AND(C69&gt;0,C12&gt;0))),(C12/(C69)),0)</f>
        <v>92.307692307692307</v>
      </c>
      <c r="E12" s="33">
        <f>'Data Entry'!J12</f>
        <v>2</v>
      </c>
      <c r="F12" s="34">
        <f>IF(((AND($D$69&gt;0,$E$12&gt;0))),(E12/(D69)),0)</f>
        <v>100</v>
      </c>
      <c r="G12" s="39" t="str">
        <f t="shared" si="0"/>
        <v>**</v>
      </c>
      <c r="H12" s="40"/>
      <c r="I12" s="41"/>
      <c r="J12" s="40">
        <f>IF((ABS($U12)&gt;Defaults!D$7),1,2)</f>
        <v>2</v>
      </c>
      <c r="K12" s="39">
        <f>IF((AND(N12&gt;Defaults!B$12,(N12+O12)&gt;Defaults!B$13, P12 &gt; Defaults!B$12, (P12+Q12) &gt; Defaults!B$13)),1,20)</f>
        <v>20</v>
      </c>
      <c r="L12" s="1">
        <f t="shared" si="1"/>
        <v>40</v>
      </c>
      <c r="M12" s="1" t="b">
        <f t="shared" si="2"/>
        <v>1</v>
      </c>
      <c r="N12" s="42">
        <f t="shared" si="3"/>
        <v>2</v>
      </c>
      <c r="O12" s="42">
        <f>(D69*L69)-E12</f>
        <v>0</v>
      </c>
      <c r="P12" s="42">
        <f t="shared" si="4"/>
        <v>12</v>
      </c>
      <c r="Q12" s="42">
        <f>(C69*L69)-C12</f>
        <v>1</v>
      </c>
      <c r="R12" s="42">
        <f t="shared" si="5"/>
        <v>15</v>
      </c>
      <c r="S12" s="30">
        <f t="shared" si="6"/>
        <v>60</v>
      </c>
      <c r="T12" s="30">
        <f t="shared" si="7"/>
        <v>364</v>
      </c>
      <c r="U12" s="31">
        <f t="shared" si="8"/>
        <v>0.16483516483516483</v>
      </c>
    </row>
    <row r="13" spans="2:21" ht="18" customHeight="1" x14ac:dyDescent="0.25">
      <c r="B13" s="32" t="str">
        <f>'Data Entry'!A13</f>
        <v>8. Cases Resulting in Probation Placement</v>
      </c>
      <c r="C13" s="33">
        <f>'Data Entry'!C13</f>
        <v>23</v>
      </c>
      <c r="D13" s="34">
        <f>IF(((AND(C70&gt;0,C13&gt;0))),(C13/(C70)),0)</f>
        <v>191.66666666666669</v>
      </c>
      <c r="E13" s="33">
        <f>'Data Entry'!J13</f>
        <v>2</v>
      </c>
      <c r="F13" s="34">
        <f>IF(((AND($D$70&gt;0,$E$13&gt;0))),($E$13/($D$70)),0)</f>
        <v>100</v>
      </c>
      <c r="G13" s="39" t="str">
        <f t="shared" si="0"/>
        <v>**</v>
      </c>
      <c r="H13" s="40"/>
      <c r="I13" s="41"/>
      <c r="J13" s="40">
        <f>IF((ABS($U13)&gt;Defaults!D$7),1,2)</f>
        <v>2</v>
      </c>
      <c r="K13" s="39">
        <f>IF((AND(N13&gt;Defaults!B$12,(N13+O13)&gt;Defaults!B$13, P13 &gt; Defaults!B$12, (P13+Q13) &gt; Defaults!B$13)),1,20)</f>
        <v>20</v>
      </c>
      <c r="L13" s="1">
        <f t="shared" si="1"/>
        <v>40</v>
      </c>
      <c r="M13" s="1" t="b">
        <f t="shared" si="2"/>
        <v>1</v>
      </c>
      <c r="N13" s="42">
        <f t="shared" si="3"/>
        <v>2</v>
      </c>
      <c r="O13" s="42">
        <f>(D70*L70)-E13</f>
        <v>0</v>
      </c>
      <c r="P13" s="42">
        <f t="shared" si="4"/>
        <v>23</v>
      </c>
      <c r="Q13" s="42">
        <f>(C70*L70)-C13</f>
        <v>-11</v>
      </c>
      <c r="R13" s="42">
        <f t="shared" si="5"/>
        <v>14</v>
      </c>
      <c r="S13" s="30">
        <f t="shared" si="6"/>
        <v>6776</v>
      </c>
      <c r="T13" s="30">
        <f t="shared" si="7"/>
        <v>-6600</v>
      </c>
      <c r="U13" s="31">
        <f t="shared" si="8"/>
        <v>-1.0266666666666666</v>
      </c>
    </row>
    <row r="14" spans="2:21" ht="30.75" customHeight="1" x14ac:dyDescent="0.25">
      <c r="B14" s="32" t="str">
        <f>'Data Entry'!A14</f>
        <v xml:space="preserve">9. Cases Resulting in Confinement in Secure Juvenile Correctional Facilities </v>
      </c>
      <c r="C14" s="33">
        <f>'Data Entry'!C14</f>
        <v>4</v>
      </c>
      <c r="D14" s="34">
        <f>IF(((AND(C70&gt;0,C14&gt;0))), ((C14/(C70))),0)</f>
        <v>33.333333333333336</v>
      </c>
      <c r="E14" s="33">
        <f>'Data Entry'!J14</f>
        <v>1</v>
      </c>
      <c r="F14" s="34">
        <f>IF(((AND($D$70&gt;0,$E$14&gt;0))), (($E$14/($D$70))),0)</f>
        <v>50</v>
      </c>
      <c r="G14" s="39" t="str">
        <f t="shared" si="0"/>
        <v>**</v>
      </c>
      <c r="H14" s="40"/>
      <c r="I14" s="41"/>
      <c r="J14" s="40">
        <f>IF((ABS($U14)&gt;Defaults!D$7),1,2)</f>
        <v>2</v>
      </c>
      <c r="K14" s="39">
        <f>IF((AND(N14&gt;Defaults!B$12,(N14+O14)&gt;Defaults!B$13, P14 &gt; Defaults!B$12, (P14+Q14) &gt; Defaults!B$13)),1,20)</f>
        <v>20</v>
      </c>
      <c r="L14" s="1">
        <f t="shared" si="1"/>
        <v>40</v>
      </c>
      <c r="M14" s="1" t="b">
        <f t="shared" si="2"/>
        <v>1</v>
      </c>
      <c r="N14" s="42">
        <f t="shared" si="3"/>
        <v>1</v>
      </c>
      <c r="O14" s="42">
        <f>(D70*L70)-E14</f>
        <v>1</v>
      </c>
      <c r="P14" s="42">
        <f t="shared" si="4"/>
        <v>4</v>
      </c>
      <c r="Q14" s="42">
        <f>(C70*L70)-C14</f>
        <v>8</v>
      </c>
      <c r="R14" s="42">
        <f t="shared" si="5"/>
        <v>14</v>
      </c>
      <c r="S14" s="30">
        <f t="shared" si="6"/>
        <v>224</v>
      </c>
      <c r="T14" s="30">
        <f t="shared" si="7"/>
        <v>1080</v>
      </c>
      <c r="U14" s="31">
        <f t="shared" si="8"/>
        <v>0.2074074074074074</v>
      </c>
    </row>
    <row r="15" spans="2:21" ht="15.75" customHeight="1" x14ac:dyDescent="0.25">
      <c r="B15" s="32" t="str">
        <f>'Data Entry'!A15</f>
        <v xml:space="preserve">10. Cases Transferred to Adult Court </v>
      </c>
      <c r="C15" s="33">
        <f>'Data Entry'!C15</f>
        <v>0</v>
      </c>
      <c r="D15" s="34">
        <f>IF(((AND(C69&gt;0,C15&gt;0))),((C15/(C69))),0)</f>
        <v>0</v>
      </c>
      <c r="E15" s="33">
        <f>'Data Entry'!J15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2</v>
      </c>
      <c r="P15" s="42">
        <f t="shared" si="4"/>
        <v>0</v>
      </c>
      <c r="Q15" s="42">
        <f>(C69*L69)-C15</f>
        <v>13</v>
      </c>
      <c r="R15" s="42">
        <f t="shared" si="5"/>
        <v>15</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26.25" customHeight="1" x14ac:dyDescent="0.25">
      <c r="B17" s="62"/>
      <c r="C17" s="62"/>
      <c r="D17" s="62"/>
      <c r="E17" s="62"/>
      <c r="F17" s="62"/>
      <c r="G17" s="62"/>
      <c r="H17" s="62"/>
      <c r="I17" s="62"/>
      <c r="K17" s="1" t="s">
        <v>92</v>
      </c>
      <c r="L17" s="1" t="s">
        <v>93</v>
      </c>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26.25" customHeight="1" x14ac:dyDescent="0.25">
      <c r="B24" s="62"/>
      <c r="C24" s="62"/>
      <c r="D24" s="62"/>
      <c r="E24" s="62"/>
      <c r="F24" s="62"/>
      <c r="G24" s="62"/>
      <c r="H24" s="62"/>
      <c r="I24" s="62"/>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referrals</v>
      </c>
      <c r="G29" s="52"/>
      <c r="H29" s="52"/>
      <c r="I29" s="52"/>
      <c r="J29" s="52"/>
      <c r="K29" s="52"/>
      <c r="L29" s="53"/>
      <c r="R29" s="49"/>
    </row>
    <row r="30" spans="2:21" ht="15" customHeight="1" x14ac:dyDescent="0.25">
      <c r="B30" s="52" t="s">
        <v>73</v>
      </c>
      <c r="C30" s="52"/>
      <c r="D30" s="52"/>
      <c r="E30" s="52"/>
      <c r="F30" s="52" t="str">
        <f>B68</f>
        <v>per 100 referrals</v>
      </c>
      <c r="G30" s="52"/>
      <c r="H30" s="52"/>
      <c r="I30" s="52"/>
      <c r="J30" s="52"/>
      <c r="K30" s="52"/>
      <c r="L30" s="53"/>
      <c r="N30" s="1" t="b">
        <f>ISNUMBER(J14)</f>
        <v>1</v>
      </c>
      <c r="R30" s="49"/>
    </row>
    <row r="31" spans="2:21" ht="15" customHeight="1" x14ac:dyDescent="0.25">
      <c r="B31" s="52" t="s">
        <v>74</v>
      </c>
      <c r="C31" s="52"/>
      <c r="D31" s="52"/>
      <c r="E31" s="52"/>
      <c r="F31" s="52" t="str">
        <f>B68</f>
        <v>per 100 referrals</v>
      </c>
      <c r="G31" s="52"/>
      <c r="H31" s="52"/>
      <c r="I31" s="52"/>
      <c r="J31" s="52"/>
      <c r="K31" s="52"/>
      <c r="L31" s="53"/>
      <c r="R31" s="49"/>
    </row>
    <row r="32" spans="2:21" ht="15" customHeight="1" x14ac:dyDescent="0.25">
      <c r="B32" s="52" t="s">
        <v>75</v>
      </c>
      <c r="C32" s="52"/>
      <c r="D32" s="52"/>
      <c r="E32" s="52"/>
      <c r="F32" s="52" t="str">
        <f>B69</f>
        <v>per 100 youth petitioned</v>
      </c>
      <c r="G32" s="52"/>
      <c r="H32" s="52"/>
      <c r="I32" s="52"/>
      <c r="J32" s="52"/>
      <c r="K32" s="52"/>
      <c r="L32" s="53"/>
      <c r="R32" s="49"/>
    </row>
    <row r="33" spans="2:18" ht="15" customHeight="1" x14ac:dyDescent="0.25">
      <c r="B33" s="52" t="s">
        <v>76</v>
      </c>
      <c r="C33" s="52"/>
      <c r="D33" s="52"/>
      <c r="E33" s="52"/>
      <c r="F33" s="52" t="str">
        <f>B70</f>
        <v>per 100 youth found delinquent</v>
      </c>
      <c r="G33" s="52"/>
      <c r="H33" s="52"/>
      <c r="I33" s="52"/>
      <c r="J33" s="52"/>
      <c r="K33" s="52"/>
      <c r="L33" s="53"/>
      <c r="R33" s="49"/>
    </row>
    <row r="34" spans="2:18" ht="15" customHeight="1" x14ac:dyDescent="0.25">
      <c r="B34" s="52" t="s">
        <v>77</v>
      </c>
      <c r="C34" s="52"/>
      <c r="D34" s="52"/>
      <c r="E34" s="52"/>
      <c r="F34" s="52" t="str">
        <f>B70</f>
        <v>per 100 youth found delinquent</v>
      </c>
      <c r="G34" s="52"/>
      <c r="H34" s="52"/>
      <c r="I34" s="52"/>
      <c r="J34" s="52"/>
      <c r="K34" s="52"/>
      <c r="L34" s="53"/>
      <c r="R34" s="49"/>
    </row>
    <row r="35" spans="2:18" ht="15" customHeight="1" x14ac:dyDescent="0.25">
      <c r="B35" s="52" t="s">
        <v>78</v>
      </c>
      <c r="C35" s="52"/>
      <c r="D35" s="52"/>
      <c r="E35" s="52"/>
      <c r="F35" s="52" t="str">
        <f>B69</f>
        <v>per 100 youth petitioned</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2.3570000000000002</v>
      </c>
      <c r="D42" s="56">
        <f>E6/1000</f>
        <v>0.27200000000000002</v>
      </c>
      <c r="E42" s="56">
        <f>MAX(C42:D42)</f>
        <v>2.3570000000000002</v>
      </c>
      <c r="G42" s="1" t="str">
        <f>B42</f>
        <v>per 1000 youth</v>
      </c>
      <c r="L42" s="57">
        <v>1000</v>
      </c>
      <c r="M42" s="57"/>
      <c r="R42" s="49"/>
    </row>
    <row r="43" spans="2:18" ht="15" hidden="1" customHeight="1" x14ac:dyDescent="0.25">
      <c r="B43" s="49" t="s">
        <v>87</v>
      </c>
      <c r="C43" s="56">
        <f>C7/100</f>
        <v>0.03</v>
      </c>
      <c r="D43" s="56">
        <f>E7/100</f>
        <v>0</v>
      </c>
      <c r="E43" s="56">
        <f>MAX(C43:D43,0)</f>
        <v>0.03</v>
      </c>
      <c r="G43" s="1" t="str">
        <f>B43</f>
        <v>per 100 arrests</v>
      </c>
      <c r="L43" s="57">
        <v>100</v>
      </c>
      <c r="M43" s="57"/>
      <c r="R43" s="49"/>
    </row>
    <row r="44" spans="2:18" ht="15" hidden="1" customHeight="1" x14ac:dyDescent="0.25">
      <c r="B44" s="49" t="s">
        <v>88</v>
      </c>
      <c r="C44" s="56">
        <f>C8/100</f>
        <v>0.27</v>
      </c>
      <c r="D44" s="56">
        <f>E8/100</f>
        <v>0.02</v>
      </c>
      <c r="E44" s="56">
        <f>MAX(C44:D44,0)</f>
        <v>0.27</v>
      </c>
      <c r="G44" s="1" t="str">
        <f>B44</f>
        <v>per 100 referrals</v>
      </c>
      <c r="L44" s="57">
        <v>100</v>
      </c>
      <c r="M44" s="57"/>
      <c r="R44" s="49"/>
    </row>
    <row r="45" spans="2:18" ht="15" hidden="1" customHeight="1" x14ac:dyDescent="0.25">
      <c r="B45" s="49" t="s">
        <v>89</v>
      </c>
      <c r="C45" s="49">
        <f>C11/100</f>
        <v>0.13</v>
      </c>
      <c r="D45" s="49">
        <f>E11/100</f>
        <v>0.02</v>
      </c>
      <c r="E45" s="56">
        <f>MAX(C45:D45,0)</f>
        <v>0.13</v>
      </c>
      <c r="G45" s="1" t="str">
        <f>B45</f>
        <v>per 100 youth petitioned</v>
      </c>
      <c r="L45" s="57">
        <v>100</v>
      </c>
      <c r="M45" s="57"/>
      <c r="R45" s="49"/>
    </row>
    <row r="46" spans="2:18" ht="15" hidden="1" customHeight="1" x14ac:dyDescent="0.25">
      <c r="B46" s="49" t="s">
        <v>90</v>
      </c>
      <c r="C46" s="49">
        <f>C12/100</f>
        <v>0.12</v>
      </c>
      <c r="D46" s="49">
        <f>E12/100</f>
        <v>0.02</v>
      </c>
      <c r="E46" s="56">
        <f>MAX(C46:D46)</f>
        <v>0.12</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2.3570000000000002</v>
      </c>
      <c r="D48" s="56">
        <f>D42</f>
        <v>0.27200000000000002</v>
      </c>
      <c r="E48" s="56">
        <f>MAX(C48:D48)</f>
        <v>2.3570000000000002</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 t="shared" si="9"/>
        <v>0.03</v>
      </c>
      <c r="D49" s="49">
        <f t="shared" si="9"/>
        <v>0</v>
      </c>
      <c r="E49" s="49">
        <f>MAX(C49:D49)</f>
        <v>0.03</v>
      </c>
      <c r="G49" s="1" t="str">
        <f>G43</f>
        <v>per 100 arrests</v>
      </c>
      <c r="L49" s="58">
        <f>IF(($E43&gt;0),L43,L42)</f>
        <v>100</v>
      </c>
      <c r="M49" s="58"/>
      <c r="N49" s="21"/>
      <c r="O49" s="21"/>
      <c r="P49" s="21"/>
      <c r="Q49" s="21"/>
      <c r="R49" s="21"/>
    </row>
    <row r="50" spans="2:18" ht="15" hidden="1" customHeight="1" x14ac:dyDescent="0.25">
      <c r="B50" s="49" t="str">
        <f t="shared" si="9"/>
        <v>per 100 referrals</v>
      </c>
      <c r="C50" s="49">
        <f t="shared" si="9"/>
        <v>0.27</v>
      </c>
      <c r="D50" s="49">
        <f t="shared" si="9"/>
        <v>0.02</v>
      </c>
      <c r="E50" s="49">
        <f>MAX(C50:D50)</f>
        <v>0.27</v>
      </c>
      <c r="G50" s="1" t="str">
        <f>G44</f>
        <v>per 100 referrals</v>
      </c>
      <c r="L50" s="58">
        <f>IF(($E44&gt;0),L44,L43)</f>
        <v>100</v>
      </c>
      <c r="M50" s="58"/>
      <c r="N50" s="21"/>
      <c r="O50" s="21"/>
      <c r="P50" s="21"/>
      <c r="Q50" s="21"/>
      <c r="R50" s="21"/>
    </row>
    <row r="51" spans="2:18" ht="15" hidden="1" customHeight="1" x14ac:dyDescent="0.25">
      <c r="B51" s="49" t="str">
        <f>IF(($E45&gt;0),B45,B43)</f>
        <v>per 100 youth petitioned</v>
      </c>
      <c r="C51" s="49">
        <f>IF(($E45&gt;0),C45,C44)</f>
        <v>0.13</v>
      </c>
      <c r="D51" s="49">
        <f>IF(($E45&gt;0),D45,D44)</f>
        <v>0.02</v>
      </c>
      <c r="E51" s="49">
        <f>MAX(C51:D51)</f>
        <v>0.13</v>
      </c>
      <c r="G51" s="1" t="str">
        <f>G45</f>
        <v>per 100 youth petitioned</v>
      </c>
      <c r="L51" s="58">
        <f>IF(($E45&gt;0),L45,L44)</f>
        <v>100</v>
      </c>
      <c r="M51" s="58"/>
    </row>
    <row r="52" spans="2:18" ht="15" hidden="1" customHeight="1" x14ac:dyDescent="0.25">
      <c r="B52" s="49" t="str">
        <f>IF(($E46&gt;0),B46,B45)</f>
        <v>per 100 youth found delinquent</v>
      </c>
      <c r="C52" s="49">
        <f>IF(($E46&gt;0),C46,C45)</f>
        <v>0.12</v>
      </c>
      <c r="D52" s="49">
        <f>IF(($E46&gt;0),D46,D45)</f>
        <v>0.02</v>
      </c>
      <c r="E52" s="56">
        <f>MAX(C52:D52)</f>
        <v>0.12</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2.3570000000000002</v>
      </c>
      <c r="D54" s="56">
        <f>D48</f>
        <v>0.27200000000000002</v>
      </c>
      <c r="E54" s="56">
        <f>MAX(C54:D54)</f>
        <v>2.3570000000000002</v>
      </c>
      <c r="G54" s="1" t="str">
        <f>G48</f>
        <v>per 1000 youth</v>
      </c>
      <c r="L54" s="58">
        <f>L48</f>
        <v>1000</v>
      </c>
      <c r="M54" s="58"/>
    </row>
    <row r="55" spans="2:18" ht="15" hidden="1" customHeight="1" x14ac:dyDescent="0.25">
      <c r="B55" s="49" t="str">
        <f t="shared" ref="B55:D56" si="10">IF(($E49&gt;0),B49,B48)</f>
        <v>per 100 arrests</v>
      </c>
      <c r="C55" s="49">
        <f t="shared" si="10"/>
        <v>0.03</v>
      </c>
      <c r="D55" s="49">
        <f t="shared" si="10"/>
        <v>0</v>
      </c>
      <c r="E55" s="49">
        <f>MAX(C55:D55)</f>
        <v>0.03</v>
      </c>
      <c r="G55" s="1" t="str">
        <f>G49</f>
        <v>per 100 arrests</v>
      </c>
      <c r="L55" s="58">
        <f>IF(($E49&gt;0),L49,L48)</f>
        <v>100</v>
      </c>
      <c r="M55" s="58"/>
    </row>
    <row r="56" spans="2:18" ht="15" hidden="1" customHeight="1" x14ac:dyDescent="0.25">
      <c r="B56" s="49" t="str">
        <f t="shared" si="10"/>
        <v>per 100 referrals</v>
      </c>
      <c r="C56" s="49">
        <f t="shared" si="10"/>
        <v>0.27</v>
      </c>
      <c r="D56" s="49">
        <f t="shared" si="10"/>
        <v>0.02</v>
      </c>
      <c r="E56" s="49">
        <f>MAX(C56:D56)</f>
        <v>0.27</v>
      </c>
      <c r="G56" s="1" t="str">
        <f>G50</f>
        <v>per 100 referrals</v>
      </c>
      <c r="L56" s="58">
        <f>IF(($E50&gt;0),L50,L49)</f>
        <v>100</v>
      </c>
      <c r="M56" s="58"/>
    </row>
    <row r="57" spans="2:18" ht="15" hidden="1" customHeight="1" x14ac:dyDescent="0.25">
      <c r="B57" s="49" t="str">
        <f>IF(($E51&gt;0),B51,B49)</f>
        <v>per 100 youth petitioned</v>
      </c>
      <c r="C57" s="49">
        <f>IF(($E51&gt;0),C51,C50)</f>
        <v>0.13</v>
      </c>
      <c r="D57" s="49">
        <f>IF(($E51&gt;0),D51,D50)</f>
        <v>0.02</v>
      </c>
      <c r="E57" s="49">
        <f>MAX(C57:D57)</f>
        <v>0.13</v>
      </c>
      <c r="G57" s="1" t="str">
        <f>G51</f>
        <v>per 100 youth petitioned</v>
      </c>
      <c r="L57" s="58">
        <f>IF(($E51&gt;0),L51,L50)</f>
        <v>100</v>
      </c>
      <c r="M57" s="58"/>
    </row>
    <row r="58" spans="2:18" ht="15" hidden="1" customHeight="1" x14ac:dyDescent="0.25">
      <c r="B58" s="49" t="str">
        <f>IF(($E52&gt;0),B52,B51)</f>
        <v>per 100 youth found delinquent</v>
      </c>
      <c r="C58" s="49">
        <f>IF(($E52&gt;0),C52,C51)</f>
        <v>0.12</v>
      </c>
      <c r="D58" s="49">
        <f>IF(($E52&gt;0),D52,D51)</f>
        <v>0.02</v>
      </c>
      <c r="E58" s="56">
        <f>MAX(C58:D58)</f>
        <v>0.12</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2.3570000000000002</v>
      </c>
      <c r="D60" s="56">
        <f>D54</f>
        <v>0.27200000000000002</v>
      </c>
      <c r="E60" s="56">
        <f>MAX(C60:D60)</f>
        <v>2.3570000000000002</v>
      </c>
      <c r="G60" s="1" t="str">
        <f>G54</f>
        <v>per 1000 youth</v>
      </c>
      <c r="L60" s="58">
        <f>L54</f>
        <v>1000</v>
      </c>
      <c r="M60" s="58"/>
    </row>
    <row r="61" spans="2:18" ht="15" hidden="1" customHeight="1" x14ac:dyDescent="0.25">
      <c r="B61" s="49" t="str">
        <f t="shared" ref="B61:D62" si="11">IF(($E55&gt;0),B55,B54)</f>
        <v>per 100 arrests</v>
      </c>
      <c r="C61" s="49">
        <f t="shared" si="11"/>
        <v>0.03</v>
      </c>
      <c r="D61" s="49">
        <f t="shared" si="11"/>
        <v>0</v>
      </c>
      <c r="E61" s="49">
        <f>MAX(C61:D61)</f>
        <v>0.03</v>
      </c>
      <c r="G61" s="1" t="str">
        <f>G55</f>
        <v>per 100 arrests</v>
      </c>
      <c r="L61" s="58">
        <f>IF(($E55&gt;0),L55,L54)</f>
        <v>100</v>
      </c>
      <c r="M61" s="58"/>
    </row>
    <row r="62" spans="2:18" ht="15" hidden="1" customHeight="1" x14ac:dyDescent="0.25">
      <c r="B62" s="49" t="str">
        <f t="shared" si="11"/>
        <v>per 100 referrals</v>
      </c>
      <c r="C62" s="49">
        <f t="shared" si="11"/>
        <v>0.27</v>
      </c>
      <c r="D62" s="49">
        <f t="shared" si="11"/>
        <v>0.02</v>
      </c>
      <c r="E62" s="49">
        <f>MAX(C62:D62)</f>
        <v>0.27</v>
      </c>
      <c r="G62" s="1" t="str">
        <f>G56</f>
        <v>per 100 referrals</v>
      </c>
      <c r="L62" s="58">
        <f>IF(($E56&gt;0),L56,L55)</f>
        <v>100</v>
      </c>
      <c r="M62" s="58"/>
    </row>
    <row r="63" spans="2:18" ht="15" hidden="1" customHeight="1" x14ac:dyDescent="0.25">
      <c r="B63" s="49" t="str">
        <f>IF(($E57&gt;0),B57,B55)</f>
        <v>per 100 youth petitioned</v>
      </c>
      <c r="C63" s="49">
        <f>IF(($E57&gt;0),C57,C56)</f>
        <v>0.13</v>
      </c>
      <c r="D63" s="49">
        <f>IF(($E57&gt;0),D57,D56)</f>
        <v>0.02</v>
      </c>
      <c r="E63" s="49">
        <f>MAX(C63:D63)</f>
        <v>0.13</v>
      </c>
      <c r="G63" s="1" t="str">
        <f>G57</f>
        <v>per 100 youth petitioned</v>
      </c>
      <c r="L63" s="58">
        <f>IF(($E57&gt;0),L57,L56)</f>
        <v>100</v>
      </c>
      <c r="M63" s="58"/>
    </row>
    <row r="64" spans="2:18" ht="15" hidden="1" customHeight="1" x14ac:dyDescent="0.25">
      <c r="B64" s="49" t="str">
        <f>IF(($E58&gt;0),B58,B57)</f>
        <v>per 100 youth found delinquent</v>
      </c>
      <c r="C64" s="49">
        <f>IF(($E58&gt;0),C58,C57)</f>
        <v>0.12</v>
      </c>
      <c r="D64" s="49">
        <f>IF(($E58&gt;0),D58,D57)</f>
        <v>0.02</v>
      </c>
      <c r="E64" s="56">
        <f>MAX(C64:D64)</f>
        <v>0.12</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2.3570000000000002</v>
      </c>
      <c r="D66" s="56">
        <f>D60</f>
        <v>0.27200000000000002</v>
      </c>
      <c r="E66" s="56">
        <f>MAX(C66:D66)</f>
        <v>2.3570000000000002</v>
      </c>
      <c r="G66" s="1" t="str">
        <f>G60</f>
        <v>per 1000 youth</v>
      </c>
      <c r="L66" s="58">
        <f>L60</f>
        <v>1000</v>
      </c>
      <c r="M66" s="58">
        <f>IF((B66=G66),1,2)</f>
        <v>1</v>
      </c>
    </row>
    <row r="67" spans="2:13" ht="15" hidden="1" customHeight="1" x14ac:dyDescent="0.25">
      <c r="B67" s="49" t="str">
        <f t="shared" ref="B67:D68" si="12">IF(($E61&gt;0),B61,B60)</f>
        <v>per 100 arrests</v>
      </c>
      <c r="C67" s="49">
        <f t="shared" si="12"/>
        <v>0.03</v>
      </c>
      <c r="D67" s="49">
        <f t="shared" si="12"/>
        <v>0</v>
      </c>
      <c r="E67" s="49">
        <f>MAX(C67:D67)</f>
        <v>0.03</v>
      </c>
      <c r="G67" s="1" t="str">
        <f>G61</f>
        <v>per 100 arrests</v>
      </c>
      <c r="L67" s="58">
        <f>IF(($E61&gt;0),L61,L60)</f>
        <v>100</v>
      </c>
      <c r="M67" s="58">
        <f>IF((B67=G67),1,2)</f>
        <v>1</v>
      </c>
    </row>
    <row r="68" spans="2:13" ht="15" hidden="1" customHeight="1" x14ac:dyDescent="0.25">
      <c r="B68" s="49" t="str">
        <f t="shared" si="12"/>
        <v>per 100 referrals</v>
      </c>
      <c r="C68" s="49">
        <f t="shared" si="12"/>
        <v>0.27</v>
      </c>
      <c r="D68" s="49">
        <f t="shared" si="12"/>
        <v>0.02</v>
      </c>
      <c r="E68" s="49">
        <f>MAX(C68:D68)</f>
        <v>0.27</v>
      </c>
      <c r="G68" s="1" t="str">
        <f>G62</f>
        <v>per 100 referrals</v>
      </c>
      <c r="L68" s="58">
        <f>IF(($E62&gt;0),L62,L61)</f>
        <v>100</v>
      </c>
      <c r="M68" s="58">
        <f>IF((B68=G68),1,2)</f>
        <v>1</v>
      </c>
    </row>
    <row r="69" spans="2:13" ht="15" hidden="1" customHeight="1" x14ac:dyDescent="0.25">
      <c r="B69" s="49" t="str">
        <f>IF(($E63&gt;0),B63,B61)</f>
        <v>per 100 youth petitioned</v>
      </c>
      <c r="C69" s="49">
        <f>IF(($E63&gt;0),C63,C62)</f>
        <v>0.13</v>
      </c>
      <c r="D69" s="49">
        <f>IF(($E63&gt;0),D63,D62)</f>
        <v>0.02</v>
      </c>
      <c r="E69" s="49">
        <f>MAX(C69:D69)</f>
        <v>0.13</v>
      </c>
      <c r="G69" s="1" t="str">
        <f>G63</f>
        <v>per 100 youth petitioned</v>
      </c>
      <c r="L69" s="58">
        <f>IF(($E63&gt;0),L63,L62)</f>
        <v>100</v>
      </c>
      <c r="M69" s="58">
        <f>IF((B69=G69),1,2)</f>
        <v>1</v>
      </c>
    </row>
    <row r="70" spans="2:13" ht="15" hidden="1" customHeight="1" x14ac:dyDescent="0.25">
      <c r="B70" s="49" t="str">
        <f>IF(($E64&gt;0),B64,B63)</f>
        <v>per 100 youth found delinquent</v>
      </c>
      <c r="C70" s="49">
        <f>IF(($E64&gt;0),C64,C63)</f>
        <v>0.12</v>
      </c>
      <c r="D70" s="49">
        <f>IF(($E64&gt;0),D64,D63)</f>
        <v>0.02</v>
      </c>
      <c r="E70" s="56">
        <f>MAX(C70:D70)</f>
        <v>0.12</v>
      </c>
      <c r="G70" s="1" t="str">
        <f>G64</f>
        <v>per 100 youth found delinquent</v>
      </c>
      <c r="L70" s="58">
        <f>IF(($E64&gt;0),L64,L63)</f>
        <v>100</v>
      </c>
      <c r="M70" s="58">
        <f>IF((B70=G70),1,2)</f>
        <v>1</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F28">
    <cfRule type="expression" dxfId="17" priority="1" stopIfTrue="1">
      <formula>M67=2</formula>
    </cfRule>
  </conditionalFormatting>
  <conditionalFormatting sqref="F35">
    <cfRule type="expression" dxfId="16" priority="2" stopIfTrue="1">
      <formula>M69=2</formula>
    </cfRule>
  </conditionalFormatting>
  <conditionalFormatting sqref="G7:G15">
    <cfRule type="expression" dxfId="15" priority="3" stopIfTrue="1">
      <formula>$L7=1</formula>
    </cfRule>
    <cfRule type="expression" dxfId="14" priority="4" stopIfTrue="1">
      <formula>$L7=2</formula>
    </cfRule>
    <cfRule type="expression" dxfId="13" priority="5" stopIfTrue="1">
      <formula>$L7&gt;3</formula>
    </cfRule>
  </conditionalFormatting>
  <conditionalFormatting sqref="F27">
    <cfRule type="expression" dxfId="12" priority="6" stopIfTrue="1">
      <formula>M66=2</formula>
    </cfRule>
  </conditionalFormatting>
  <conditionalFormatting sqref="F29">
    <cfRule type="expression" dxfId="11" priority="7" stopIfTrue="1">
      <formula>M68 = 2</formula>
    </cfRule>
  </conditionalFormatting>
  <conditionalFormatting sqref="F30">
    <cfRule type="expression" dxfId="10" priority="8" stopIfTrue="1">
      <formula>M68 = 2</formula>
    </cfRule>
  </conditionalFormatting>
  <conditionalFormatting sqref="F31">
    <cfRule type="expression" dxfId="9" priority="9" stopIfTrue="1">
      <formula>M68 = 2</formula>
    </cfRule>
  </conditionalFormatting>
  <conditionalFormatting sqref="F32:F33">
    <cfRule type="expression" dxfId="8" priority="10" stopIfTrue="1">
      <formula>M69=2</formula>
    </cfRule>
  </conditionalFormatting>
  <conditionalFormatting sqref="F34">
    <cfRule type="expression" dxfId="7" priority="11" stopIfTrue="1">
      <formula>M70 = 2</formula>
    </cfRule>
  </conditionalFormatting>
  <conditionalFormatting sqref="B86">
    <cfRule type="expression" dxfId="6" priority="12" stopIfTrue="1">
      <formula>$D$83= 2</formula>
    </cfRule>
  </conditionalFormatting>
  <pageMargins left="0.53" right="0.42" top="0.75" bottom="0.5" header="0" footer="0"/>
  <pageSetup orientation="portrait"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autoPageBreaks="0"/>
  </sheetPr>
  <dimension ref="A1:S25"/>
  <sheetViews>
    <sheetView topLeftCell="B1" zoomScale="130" zoomScaleNormal="130" workbookViewId="0">
      <selection activeCell="C5" sqref="C5"/>
    </sheetView>
  </sheetViews>
  <sheetFormatPr defaultColWidth="10.28515625" defaultRowHeight="12.75" customHeight="1" x14ac:dyDescent="0.25"/>
  <cols>
    <col min="1" max="1" width="5.28515625" style="1" customWidth="1"/>
    <col min="2" max="2" width="35.7109375" style="1" customWidth="1"/>
    <col min="3" max="3" width="9.7109375" style="1" customWidth="1"/>
    <col min="4" max="4" width="10.140625" style="1" customWidth="1"/>
    <col min="5" max="5" width="10.28515625" customWidth="1"/>
    <col min="6" max="8" width="10.140625" style="1" customWidth="1"/>
    <col min="9" max="9" width="10.28515625" style="1" customWidth="1"/>
    <col min="10" max="10" width="10.28515625" customWidth="1"/>
    <col min="11" max="15" width="10.28515625" style="1" customWidth="1"/>
    <col min="16" max="16" width="9.7109375" style="1" customWidth="1"/>
    <col min="17" max="19" width="10.28515625" style="1" customWidth="1"/>
  </cols>
  <sheetData>
    <row r="1" spans="2:18" ht="15.75" customHeight="1" x14ac:dyDescent="0.25"/>
    <row r="2" spans="2:18" ht="15" customHeight="1" x14ac:dyDescent="0.25">
      <c r="B2" s="63" t="s">
        <v>94</v>
      </c>
      <c r="C2" s="64"/>
      <c r="D2" s="64"/>
      <c r="E2" s="64"/>
      <c r="F2" s="64"/>
      <c r="G2" s="64"/>
      <c r="H2" s="64"/>
      <c r="I2" s="65"/>
    </row>
    <row r="3" spans="2:18" ht="15" customHeight="1" x14ac:dyDescent="0.25">
      <c r="B3" s="66"/>
      <c r="E3" s="1" t="str">
        <f>'Data Entry'!C3</f>
        <v xml:space="preserve">Reporting Period:  </v>
      </c>
      <c r="I3" s="67"/>
    </row>
    <row r="4" spans="2:18" ht="15" customHeight="1" x14ac:dyDescent="0.25">
      <c r="B4" s="66" t="str">
        <f>'Data Entry'!A2</f>
        <v>State: Michigan</v>
      </c>
      <c r="E4" s="1" t="str">
        <f>'Data Entry'!C4</f>
        <v>10/1/20 through 9/30/21</v>
      </c>
      <c r="I4" s="67"/>
    </row>
    <row r="5" spans="2:18" ht="15" customHeight="1" x14ac:dyDescent="0.25">
      <c r="B5" s="66" t="str">
        <f>'Data Entry'!A3</f>
        <v>County: Emmet</v>
      </c>
      <c r="E5" s="1"/>
      <c r="I5" s="67"/>
    </row>
    <row r="6" spans="2:18" s="8" customFormat="1" ht="75" customHeight="1" x14ac:dyDescent="0.25">
      <c r="B6" s="68"/>
      <c r="C6" s="69" t="str">
        <f>'Black or African-American'!$F$1</f>
        <v>Black or African American</v>
      </c>
      <c r="D6" s="69" t="str">
        <f>Hispanic!F1</f>
        <v>Hispanic or Latino</v>
      </c>
      <c r="E6" s="69" t="str">
        <f>Asian!F1</f>
        <v>Asian</v>
      </c>
      <c r="F6" s="69" t="str">
        <f>Hawaiian!F1</f>
        <v>Native Hawaiian or Other Pacific Islanders</v>
      </c>
      <c r="G6" s="69" t="str">
        <f>'Data Entry'!H5</f>
        <v>American Indian or Alaska Native</v>
      </c>
      <c r="H6" s="69" t="str">
        <f>'Data Entry'!I5</f>
        <v>Biracial or Other</v>
      </c>
      <c r="I6" s="70" t="str">
        <f>'Data Entry'!J5</f>
        <v>All Minorities</v>
      </c>
      <c r="L6" s="69"/>
      <c r="M6" s="69"/>
      <c r="N6" s="69"/>
      <c r="O6" s="69"/>
    </row>
    <row r="7" spans="2:18" ht="15" customHeight="1" x14ac:dyDescent="0.25">
      <c r="B7" s="71" t="s">
        <v>8</v>
      </c>
      <c r="C7" s="72" t="str">
        <f>'Black or African-American'!$G7</f>
        <v>**</v>
      </c>
      <c r="D7" s="72" t="str">
        <f>Hispanic!G7</f>
        <v>**</v>
      </c>
      <c r="E7" s="72" t="str">
        <f>Asian!G7</f>
        <v>**</v>
      </c>
      <c r="F7" s="72" t="str">
        <f>Hawaiian!G7</f>
        <v>*</v>
      </c>
      <c r="G7" s="72" t="str">
        <f>'Am Indian'!G7</f>
        <v>**</v>
      </c>
      <c r="H7" s="72" t="str">
        <f>'Other - Mixed'!G7</f>
        <v>*</v>
      </c>
      <c r="I7" s="73" t="str">
        <f>'All Minorities'!G7</f>
        <v>**</v>
      </c>
      <c r="L7" s="1">
        <f>'Black or African-American'!L7</f>
        <v>40</v>
      </c>
      <c r="M7" s="1">
        <f>Hispanic!L7</f>
        <v>40</v>
      </c>
      <c r="N7" s="1">
        <f>Asian!L7</f>
        <v>40</v>
      </c>
      <c r="O7" s="1" t="e">
        <f>Hawaiian!L7</f>
        <v>#VALUE!</v>
      </c>
      <c r="P7" s="1">
        <f>'Am Indian'!L7</f>
        <v>40</v>
      </c>
      <c r="Q7" s="1" t="e">
        <f>'Other - Mixed'!L7</f>
        <v>#VALUE!</v>
      </c>
      <c r="R7" s="1">
        <f>'All Minorities'!L7</f>
        <v>40</v>
      </c>
    </row>
    <row r="8" spans="2:18" ht="15" customHeight="1" x14ac:dyDescent="0.25">
      <c r="B8" s="71" t="s">
        <v>9</v>
      </c>
      <c r="C8" s="72" t="str">
        <f>'Black or African-American'!$G8</f>
        <v>**</v>
      </c>
      <c r="D8" s="72" t="str">
        <f>Hispanic!G8</f>
        <v>**</v>
      </c>
      <c r="E8" s="72" t="str">
        <f>Asian!G8</f>
        <v>**</v>
      </c>
      <c r="F8" s="72" t="str">
        <f>Hawaiian!G8</f>
        <v>*</v>
      </c>
      <c r="G8" s="72" t="str">
        <f>'Am Indian'!G8</f>
        <v>**</v>
      </c>
      <c r="H8" s="72" t="str">
        <f>'Other - Mixed'!G8</f>
        <v>*</v>
      </c>
      <c r="I8" s="73" t="str">
        <f>'All Minorities'!G8</f>
        <v>**</v>
      </c>
      <c r="L8" s="1">
        <f>'Black or African-American'!L8</f>
        <v>40</v>
      </c>
      <c r="M8" s="1">
        <f>Hispanic!L8</f>
        <v>40</v>
      </c>
      <c r="N8" s="1">
        <f>Asian!L8</f>
        <v>40</v>
      </c>
      <c r="O8" s="1">
        <f>Hawaiian!L8</f>
        <v>139</v>
      </c>
      <c r="P8" s="1">
        <f>'Am Indian'!L8</f>
        <v>40</v>
      </c>
      <c r="Q8" s="1">
        <f>'Other - Mixed'!L8</f>
        <v>139</v>
      </c>
      <c r="R8" s="1">
        <f>'All Minorities'!L8</f>
        <v>40</v>
      </c>
    </row>
    <row r="9" spans="2:18" ht="15" customHeight="1" x14ac:dyDescent="0.25">
      <c r="B9" s="71" t="s">
        <v>10</v>
      </c>
      <c r="C9" s="72" t="str">
        <f>'Black or African-American'!$G9</f>
        <v>--</v>
      </c>
      <c r="D9" s="72" t="str">
        <f>Hispanic!G9</f>
        <v>--</v>
      </c>
      <c r="E9" s="72" t="str">
        <f>Asian!G9</f>
        <v>--</v>
      </c>
      <c r="F9" s="72" t="str">
        <f>Hawaiian!G9</f>
        <v>*</v>
      </c>
      <c r="G9" s="72" t="str">
        <f>'Am Indian'!G9</f>
        <v>**</v>
      </c>
      <c r="H9" s="72" t="str">
        <f>'Other - Mixed'!G9</f>
        <v>*</v>
      </c>
      <c r="I9" s="73" t="str">
        <f>'All Minorities'!G9</f>
        <v>**</v>
      </c>
      <c r="L9" s="1" t="e">
        <f>'Black or African-American'!L9</f>
        <v>#VALUE!</v>
      </c>
      <c r="M9" s="1" t="e">
        <f>Hispanic!L9</f>
        <v>#VALUE!</v>
      </c>
      <c r="N9" s="1" t="e">
        <f>Asian!L9</f>
        <v>#VALUE!</v>
      </c>
      <c r="O9" s="1" t="e">
        <f>Hawaiian!L9</f>
        <v>#VALUE!</v>
      </c>
      <c r="P9" s="1">
        <f>'Am Indian'!L9</f>
        <v>40</v>
      </c>
      <c r="Q9" s="1">
        <f>'Other - Mixed'!L9</f>
        <v>139</v>
      </c>
      <c r="R9" s="1">
        <f>'All Minorities'!L9</f>
        <v>40</v>
      </c>
    </row>
    <row r="10" spans="2:18" ht="15" customHeight="1" x14ac:dyDescent="0.25">
      <c r="B10" s="71" t="s">
        <v>11</v>
      </c>
      <c r="C10" s="72" t="str">
        <f>'Black or African-American'!$G10</f>
        <v>--</v>
      </c>
      <c r="D10" s="72" t="str">
        <f>Hispanic!G10</f>
        <v>--</v>
      </c>
      <c r="E10" s="72" t="str">
        <f>Asian!G10</f>
        <v>--</v>
      </c>
      <c r="F10" s="72" t="str">
        <f>Hawaiian!G10</f>
        <v>*</v>
      </c>
      <c r="G10" s="72" t="str">
        <f>'Am Indian'!G10</f>
        <v>**</v>
      </c>
      <c r="H10" s="72" t="str">
        <f>'Other - Mixed'!G10</f>
        <v>*</v>
      </c>
      <c r="I10" s="73" t="str">
        <f>'All Minorities'!G10</f>
        <v>**</v>
      </c>
      <c r="L10" s="1" t="e">
        <f>'Black or African-American'!L10</f>
        <v>#VALUE!</v>
      </c>
      <c r="M10" s="1" t="e">
        <f>Hispanic!L10</f>
        <v>#VALUE!</v>
      </c>
      <c r="N10" s="1" t="e">
        <f>Asian!L10</f>
        <v>#VALUE!</v>
      </c>
      <c r="O10" s="1" t="e">
        <f>Hawaiian!L10</f>
        <v>#VALUE!</v>
      </c>
      <c r="P10" s="1">
        <f>'Am Indian'!L10</f>
        <v>40</v>
      </c>
      <c r="Q10" s="1">
        <f>'Other - Mixed'!L10</f>
        <v>139</v>
      </c>
      <c r="R10" s="1">
        <f>'All Minorities'!L10</f>
        <v>40</v>
      </c>
    </row>
    <row r="11" spans="2:18" ht="15" customHeight="1" x14ac:dyDescent="0.25">
      <c r="B11" s="71" t="s">
        <v>95</v>
      </c>
      <c r="C11" s="72" t="str">
        <f>'Black or African-American'!$G11</f>
        <v>--</v>
      </c>
      <c r="D11" s="72" t="str">
        <f>Hispanic!G11</f>
        <v>--</v>
      </c>
      <c r="E11" s="72" t="str">
        <f>Asian!G11</f>
        <v>--</v>
      </c>
      <c r="F11" s="72" t="str">
        <f>Hawaiian!G11</f>
        <v>*</v>
      </c>
      <c r="G11" s="72" t="str">
        <f>'Am Indian'!G11</f>
        <v>**</v>
      </c>
      <c r="H11" s="72" t="str">
        <f>'Other - Mixed'!G11</f>
        <v>*</v>
      </c>
      <c r="I11" s="73" t="str">
        <f>'All Minorities'!G11</f>
        <v>**</v>
      </c>
      <c r="L11" s="1" t="e">
        <f>'Black or African-American'!L11</f>
        <v>#VALUE!</v>
      </c>
      <c r="M11" s="1" t="e">
        <f>Hispanic!L11</f>
        <v>#VALUE!</v>
      </c>
      <c r="N11" s="1" t="e">
        <f>Asian!L11</f>
        <v>#VALUE!</v>
      </c>
      <c r="O11" s="1" t="e">
        <f>Hawaiian!L11</f>
        <v>#VALUE!</v>
      </c>
      <c r="P11" s="1">
        <f>'Am Indian'!L11</f>
        <v>40</v>
      </c>
      <c r="Q11" s="1">
        <f>'Other - Mixed'!L11</f>
        <v>139</v>
      </c>
      <c r="R11" s="1">
        <f>'All Minorities'!L11</f>
        <v>40</v>
      </c>
    </row>
    <row r="12" spans="2:18" ht="15" customHeight="1" x14ac:dyDescent="0.25">
      <c r="B12" s="71" t="s">
        <v>13</v>
      </c>
      <c r="C12" s="72" t="str">
        <f>'Black or African-American'!$G12</f>
        <v>--</v>
      </c>
      <c r="D12" s="72" t="str">
        <f>Hispanic!G12</f>
        <v>--</v>
      </c>
      <c r="E12" s="72" t="str">
        <f>Asian!G12</f>
        <v>--</v>
      </c>
      <c r="F12" s="72" t="str">
        <f>Hawaiian!G12</f>
        <v>*</v>
      </c>
      <c r="G12" s="72" t="str">
        <f>'Am Indian'!G12</f>
        <v>**</v>
      </c>
      <c r="H12" s="72" t="str">
        <f>'Other - Mixed'!G12</f>
        <v>*</v>
      </c>
      <c r="I12" s="73" t="str">
        <f>'All Minorities'!G12</f>
        <v>**</v>
      </c>
      <c r="L12" s="1" t="e">
        <f>'Black or African-American'!L12</f>
        <v>#VALUE!</v>
      </c>
      <c r="M12" s="1" t="e">
        <f>Hispanic!L12</f>
        <v>#VALUE!</v>
      </c>
      <c r="N12" s="1" t="e">
        <f>Asian!L12</f>
        <v>#VALUE!</v>
      </c>
      <c r="O12" s="1" t="e">
        <f>Hawaiian!L12</f>
        <v>#VALUE!</v>
      </c>
      <c r="P12" s="1">
        <f>'Am Indian'!L12</f>
        <v>40</v>
      </c>
      <c r="Q12" s="1">
        <f>'Other - Mixed'!L12</f>
        <v>139</v>
      </c>
      <c r="R12" s="1">
        <f>'All Minorities'!L12</f>
        <v>40</v>
      </c>
    </row>
    <row r="13" spans="2:18" ht="15" customHeight="1" x14ac:dyDescent="0.25">
      <c r="B13" s="71" t="s">
        <v>14</v>
      </c>
      <c r="C13" s="72" t="str">
        <f>'Black or African-American'!$G13</f>
        <v>--</v>
      </c>
      <c r="D13" s="72" t="str">
        <f>Hispanic!G13</f>
        <v>--</v>
      </c>
      <c r="E13" s="72" t="str">
        <f>Asian!G13</f>
        <v>--</v>
      </c>
      <c r="F13" s="72" t="str">
        <f>Hawaiian!G13</f>
        <v>*</v>
      </c>
      <c r="G13" s="72" t="str">
        <f>'Am Indian'!G13</f>
        <v>**</v>
      </c>
      <c r="H13" s="72" t="str">
        <f>'Other - Mixed'!G13</f>
        <v>*</v>
      </c>
      <c r="I13" s="73" t="str">
        <f>'All Minorities'!G13</f>
        <v>**</v>
      </c>
      <c r="L13" s="1" t="e">
        <f>'Black or African-American'!L13</f>
        <v>#VALUE!</v>
      </c>
      <c r="M13" s="1" t="e">
        <f>Hispanic!L13</f>
        <v>#VALUE!</v>
      </c>
      <c r="N13" s="1" t="e">
        <f>Asian!L13</f>
        <v>#VALUE!</v>
      </c>
      <c r="O13" s="1" t="e">
        <f>Hawaiian!L13</f>
        <v>#VALUE!</v>
      </c>
      <c r="P13" s="1">
        <f>'Am Indian'!L13</f>
        <v>40</v>
      </c>
      <c r="Q13" s="1">
        <f>'Other - Mixed'!L13</f>
        <v>139</v>
      </c>
      <c r="R13" s="1">
        <f>'All Minorities'!L13</f>
        <v>40</v>
      </c>
    </row>
    <row r="14" spans="2:18" ht="25.5" customHeight="1" x14ac:dyDescent="0.25">
      <c r="B14" s="71" t="s">
        <v>15</v>
      </c>
      <c r="C14" s="72" t="str">
        <f>'Black or African-American'!$G14</f>
        <v>--</v>
      </c>
      <c r="D14" s="72" t="str">
        <f>Hispanic!G14</f>
        <v>--</v>
      </c>
      <c r="E14" s="72" t="str">
        <f>Asian!G14</f>
        <v>--</v>
      </c>
      <c r="F14" s="72" t="str">
        <f>Hawaiian!G14</f>
        <v>*</v>
      </c>
      <c r="G14" s="72" t="str">
        <f>'Am Indian'!G14</f>
        <v>**</v>
      </c>
      <c r="H14" s="72" t="str">
        <f>'Other - Mixed'!G14</f>
        <v>*</v>
      </c>
      <c r="I14" s="73" t="str">
        <f>'All Minorities'!G14</f>
        <v>**</v>
      </c>
      <c r="L14" s="1" t="e">
        <f>'Black or African-American'!L14</f>
        <v>#VALUE!</v>
      </c>
      <c r="M14" s="1" t="e">
        <f>Hispanic!L14</f>
        <v>#VALUE!</v>
      </c>
      <c r="N14" s="1" t="e">
        <f>Asian!L14</f>
        <v>#VALUE!</v>
      </c>
      <c r="O14" s="1" t="e">
        <f>Hawaiian!L14</f>
        <v>#VALUE!</v>
      </c>
      <c r="P14" s="1">
        <f>'Am Indian'!L14</f>
        <v>40</v>
      </c>
      <c r="Q14" s="1">
        <f>'Other - Mixed'!L14</f>
        <v>139</v>
      </c>
      <c r="R14" s="1">
        <f>'All Minorities'!L14</f>
        <v>40</v>
      </c>
    </row>
    <row r="15" spans="2:18" ht="15" customHeight="1" x14ac:dyDescent="0.25">
      <c r="B15" s="71" t="s">
        <v>16</v>
      </c>
      <c r="C15" s="72" t="str">
        <f>'Black or African-American'!$G15</f>
        <v>--</v>
      </c>
      <c r="D15" s="72" t="str">
        <f>Hispanic!G15</f>
        <v>--</v>
      </c>
      <c r="E15" s="72" t="str">
        <f>Asian!G15</f>
        <v>--</v>
      </c>
      <c r="F15" s="72" t="str">
        <f>Hawaiian!G15</f>
        <v>*</v>
      </c>
      <c r="G15" s="72" t="str">
        <f>'Am Indian'!G15</f>
        <v>--</v>
      </c>
      <c r="H15" s="72" t="str">
        <f>'Other - Mixed'!G15</f>
        <v>*</v>
      </c>
      <c r="I15" s="73" t="str">
        <f>'All Minorities'!G15</f>
        <v>--</v>
      </c>
      <c r="L15" s="1" t="e">
        <f>'Black or African-American'!L15</f>
        <v>#VALUE!</v>
      </c>
      <c r="M15" s="1" t="e">
        <f>Hispanic!L15</f>
        <v>#VALUE!</v>
      </c>
      <c r="N15" s="1" t="e">
        <f>Asian!L15</f>
        <v>#VALUE!</v>
      </c>
      <c r="O15" s="1" t="e">
        <f>Hawaiian!L15</f>
        <v>#VALUE!</v>
      </c>
      <c r="P15" s="1" t="e">
        <f>'Am Indian'!L15</f>
        <v>#VALUE!</v>
      </c>
      <c r="Q15" s="1" t="e">
        <f>'Other - Mixed'!L15</f>
        <v>#VALUE!</v>
      </c>
      <c r="R15" s="1" t="e">
        <f>'All Minorities'!L15</f>
        <v>#VALUE!</v>
      </c>
    </row>
    <row r="16" spans="2:18" ht="15" customHeight="1" x14ac:dyDescent="0.25">
      <c r="B16" s="74" t="s">
        <v>96</v>
      </c>
      <c r="C16" s="75" t="str">
        <f>'Data Entry'!$D$16</f>
        <v>Yes</v>
      </c>
      <c r="D16" s="75" t="str">
        <f>'Data Entry'!$E$16</f>
        <v>Yes</v>
      </c>
      <c r="E16" s="75" t="str">
        <f>'Data Entry'!F16</f>
        <v>Yes</v>
      </c>
      <c r="F16" s="75" t="str">
        <f>'Data Entry'!G16</f>
        <v>No</v>
      </c>
      <c r="G16" s="75" t="str">
        <f>'Data Entry'!H16</f>
        <v>Yes</v>
      </c>
      <c r="H16" s="75" t="str">
        <f>'Data Entry'!I16</f>
        <v>No</v>
      </c>
      <c r="I16" s="67"/>
    </row>
    <row r="17" spans="2:9" ht="15" customHeight="1" x14ac:dyDescent="0.25">
      <c r="B17" s="66"/>
      <c r="E17" s="1"/>
      <c r="I17" s="67"/>
    </row>
    <row r="18" spans="2:9" ht="15.75" customHeight="1" x14ac:dyDescent="0.25">
      <c r="B18" s="76">
        <f>'Black or African-American'!B16</f>
        <v>0</v>
      </c>
      <c r="C18" s="77"/>
      <c r="D18" s="77"/>
      <c r="E18" s="77"/>
      <c r="F18" s="77"/>
      <c r="G18" s="77"/>
      <c r="H18" s="77"/>
      <c r="I18" s="78"/>
    </row>
    <row r="20" spans="2:9" ht="15" customHeight="1" x14ac:dyDescent="0.25">
      <c r="B20" s="1" t="s">
        <v>51</v>
      </c>
    </row>
    <row r="21" spans="2:9" ht="15" customHeight="1" x14ac:dyDescent="0.25">
      <c r="B21" s="1" t="s">
        <v>52</v>
      </c>
      <c r="D21" s="45" t="s">
        <v>53</v>
      </c>
    </row>
    <row r="22" spans="2:9" ht="15" customHeight="1" x14ac:dyDescent="0.25">
      <c r="B22" s="1" t="s">
        <v>54</v>
      </c>
      <c r="D22" s="1" t="s">
        <v>55</v>
      </c>
    </row>
    <row r="23" spans="2:9" ht="15" customHeight="1" x14ac:dyDescent="0.25">
      <c r="B23" s="1" t="s">
        <v>56</v>
      </c>
      <c r="D23" s="1" t="s">
        <v>57</v>
      </c>
    </row>
    <row r="24" spans="2:9" ht="15" customHeight="1" x14ac:dyDescent="0.25">
      <c r="B24" s="1" t="s">
        <v>58</v>
      </c>
      <c r="D24" s="1" t="s">
        <v>59</v>
      </c>
    </row>
    <row r="25" spans="2:9" ht="15" customHeight="1" x14ac:dyDescent="0.25">
      <c r="B25" s="1" t="s">
        <v>60</v>
      </c>
      <c r="D25" s="1" t="s">
        <v>61</v>
      </c>
    </row>
  </sheetData>
  <sheetProtection password="C722" objects="1"/>
  <phoneticPr fontId="0" type="noConversion"/>
  <conditionalFormatting sqref="C7:C15 G7:G15">
    <cfRule type="expression" dxfId="5" priority="1" stopIfTrue="1">
      <formula>L7=1</formula>
    </cfRule>
  </conditionalFormatting>
  <conditionalFormatting sqref="D7:D15">
    <cfRule type="expression" dxfId="4" priority="2" stopIfTrue="1">
      <formula>$M7=1</formula>
    </cfRule>
  </conditionalFormatting>
  <conditionalFormatting sqref="E7:E15">
    <cfRule type="expression" dxfId="3" priority="3" stopIfTrue="1">
      <formula>$N7=1</formula>
    </cfRule>
  </conditionalFormatting>
  <conditionalFormatting sqref="F7:F15">
    <cfRule type="expression" dxfId="2" priority="4" stopIfTrue="1">
      <formula>$O7=1</formula>
    </cfRule>
  </conditionalFormatting>
  <conditionalFormatting sqref="H7:H15">
    <cfRule type="expression" dxfId="1" priority="5" stopIfTrue="1">
      <formula>$Q7=1</formula>
    </cfRule>
  </conditionalFormatting>
  <conditionalFormatting sqref="I7:I15">
    <cfRule type="expression" dxfId="0" priority="6" stopIfTrue="1">
      <formula>$R7=1</formula>
    </cfRule>
  </conditionalFormatting>
  <pageMargins left="1.1100000000000001" right="0.77" top="1.26" bottom="1" header="0.5" footer="0.5"/>
  <pageSetup scale="110" orientation="landscape"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autoPageBreaks="0"/>
  </sheetPr>
  <dimension ref="A1:K30"/>
  <sheetViews>
    <sheetView showGridLines="0" showRowColHeaders="0" showZeros="0" topLeftCell="A13" zoomScale="120" zoomScaleNormal="120" workbookViewId="0">
      <selection activeCell="I5" sqref="I5"/>
    </sheetView>
  </sheetViews>
  <sheetFormatPr defaultColWidth="10.28515625" defaultRowHeight="12.75" customHeight="1" x14ac:dyDescent="0.25"/>
  <cols>
    <col min="1" max="1" width="5.42578125" style="1" customWidth="1"/>
    <col min="2" max="2" width="34.85546875" style="1" customWidth="1"/>
    <col min="3" max="9" width="10.28515625" customWidth="1"/>
    <col min="10" max="10" width="10.28515625" style="1" customWidth="1"/>
    <col min="11" max="11" width="9.7109375" style="1" customWidth="1"/>
  </cols>
  <sheetData>
    <row r="1" spans="2:11" ht="15" customHeight="1" x14ac:dyDescent="0.25">
      <c r="B1" s="1" t="s">
        <v>97</v>
      </c>
    </row>
    <row r="2" spans="2:11" ht="75" customHeight="1" x14ac:dyDescent="0.25">
      <c r="C2" s="8" t="s">
        <v>2</v>
      </c>
      <c r="D2" s="8" t="s">
        <v>3</v>
      </c>
      <c r="E2" s="8" t="str">
        <f>'Data Entry'!D5</f>
        <v>Black or African American</v>
      </c>
      <c r="F2" s="8" t="str">
        <f>'Data Entry'!E5</f>
        <v>Hispanic or Latino</v>
      </c>
      <c r="G2" s="8" t="str">
        <f>'Data Entry'!F5</f>
        <v>Asian</v>
      </c>
      <c r="H2" s="8" t="str">
        <f>'Data Entry'!G5</f>
        <v>Native Hawaiian or Other Pacific Islanders</v>
      </c>
      <c r="I2" s="8" t="str">
        <f>'Data Entry'!H5</f>
        <v>American Indian or Alaska Native</v>
      </c>
      <c r="J2" s="8" t="str">
        <f>'Data Entry'!I5</f>
        <v>Biracial or Other</v>
      </c>
      <c r="K2" s="8" t="s">
        <v>7</v>
      </c>
    </row>
    <row r="3" spans="2:11" ht="15" customHeight="1" x14ac:dyDescent="0.25">
      <c r="B3" s="16" t="str">
        <f>'Data Entry'!A6</f>
        <v xml:space="preserve">1. Population at Risk (age 10 through 16) </v>
      </c>
      <c r="C3" s="57">
        <f>'Data Entry'!B6</f>
        <v>2629</v>
      </c>
      <c r="D3" s="57">
        <f>'Data Entry'!C6</f>
        <v>2357</v>
      </c>
      <c r="E3" s="57">
        <f>'Data Entry'!D6</f>
        <v>42</v>
      </c>
      <c r="F3" s="57">
        <f>'Data Entry'!E6</f>
        <v>72</v>
      </c>
      <c r="G3" s="57">
        <f>'Data Entry'!F6</f>
        <v>27</v>
      </c>
      <c r="H3" s="57">
        <f>'Data Entry'!G6</f>
        <v>0</v>
      </c>
      <c r="I3" s="57">
        <f>'Data Entry'!H6</f>
        <v>131</v>
      </c>
      <c r="J3" s="57">
        <f>'Data Entry'!I6</f>
        <v>0</v>
      </c>
      <c r="K3" s="57">
        <f>'Data Entry'!J6</f>
        <v>272</v>
      </c>
    </row>
    <row r="4" spans="2:11" ht="15" customHeight="1" x14ac:dyDescent="0.25">
      <c r="B4" s="16" t="s">
        <v>8</v>
      </c>
      <c r="C4" s="1">
        <f>IF((C$3&gt;0),(1000*('Data Entry'!B7/'Data Entry'!B$6)), 0)</f>
        <v>1.5214910612400152</v>
      </c>
      <c r="D4" s="1">
        <f>IF((D$3&gt;0),(1000*('Data Entry'!C7/'Data Entry'!C$6)), 0)</f>
        <v>1.2728044123886295</v>
      </c>
      <c r="E4" s="1">
        <f>IF((E$3&gt;0),(1000*('Data Entry'!D7/'Data Entry'!D$6)), 0)</f>
        <v>0</v>
      </c>
      <c r="F4" s="1">
        <f>IF((F$3&gt;0),(1000*('Data Entry'!E7/'Data Entry'!E$6)), 0)</f>
        <v>0</v>
      </c>
      <c r="G4" s="1">
        <f>IF((G$3&gt;0),(1000*('Data Entry'!F7/'Data Entry'!F$6)), 0)</f>
        <v>0</v>
      </c>
      <c r="H4" s="1">
        <f>IF((H$3&gt;0),(1000*('Data Entry'!G7/'Data Entry'!G$6)), 0)</f>
        <v>0</v>
      </c>
      <c r="I4" s="1">
        <f>IF((I$3&gt;0),(1000*('Data Entry'!H7/'Data Entry'!H$6)), 0)</f>
        <v>0</v>
      </c>
      <c r="J4" s="1">
        <f>IF((J$3&gt;0),(1000*('Data Entry'!I7/'Data Entry'!I$6)), 0)</f>
        <v>0</v>
      </c>
      <c r="K4" s="1">
        <f>IF((K$3&gt;0),(1000*('Data Entry'!J7/'Data Entry'!J$6)), 0)</f>
        <v>0</v>
      </c>
    </row>
    <row r="5" spans="2:11" ht="15" customHeight="1" x14ac:dyDescent="0.25">
      <c r="B5" s="16" t="s">
        <v>9</v>
      </c>
      <c r="C5" s="1">
        <f>IF((C$3&gt;0),(1000*('Data Entry'!B8/'Data Entry'!B$6)), 0)</f>
        <v>11.791555724610117</v>
      </c>
      <c r="D5" s="1">
        <f>IF((D$3&gt;0),(1000*('Data Entry'!C8/'Data Entry'!C$6)), 0)</f>
        <v>11.455239711497667</v>
      </c>
      <c r="E5" s="1">
        <f>IF((E$3&gt;0),(1000*('Data Entry'!D8/'Data Entry'!D$6)), 0)</f>
        <v>0</v>
      </c>
      <c r="F5" s="1">
        <f>IF((F$3&gt;0),(1000*('Data Entry'!E8/'Data Entry'!E$6)), 0)</f>
        <v>0</v>
      </c>
      <c r="G5" s="1">
        <f>IF((G$3&gt;0),(1000*('Data Entry'!F8/'Data Entry'!F$6)), 0)</f>
        <v>0</v>
      </c>
      <c r="H5" s="1">
        <f>IF((H$3&gt;0),(1000*('Data Entry'!G8/'Data Entry'!G$6)), 0)</f>
        <v>0</v>
      </c>
      <c r="I5" s="1">
        <f>IF((I$3&gt;0),(1000*('Data Entry'!H8/'Data Entry'!H$6)), 0)</f>
        <v>7.6335877862595414</v>
      </c>
      <c r="J5" s="1">
        <f>IF((J$3&gt;0),(1000*('Data Entry'!I8/'Data Entry'!I$6)), 0)</f>
        <v>0</v>
      </c>
      <c r="K5" s="1">
        <f>IF((K$3&gt;0),(1000*('Data Entry'!J8/'Data Entry'!J$6)), 0)</f>
        <v>7.3529411764705879</v>
      </c>
    </row>
    <row r="6" spans="2:11" ht="15" customHeight="1" x14ac:dyDescent="0.25">
      <c r="B6" s="16" t="s">
        <v>10</v>
      </c>
      <c r="C6" s="1">
        <f>IF((C$3&gt;0),(1000*('Data Entry'!B9/'Data Entry'!B$6)), 0)</f>
        <v>0.3803727653100038</v>
      </c>
      <c r="D6" s="1">
        <f>IF((D$3&gt;0),(1000*('Data Entry'!C9/'Data Entry'!C$6)), 0)</f>
        <v>0.4242681374628765</v>
      </c>
      <c r="E6" s="1">
        <f>IF((E$3&gt;0),(1000*('Data Entry'!D9/'Data Entry'!D$6)), 0)</f>
        <v>0</v>
      </c>
      <c r="F6" s="1">
        <f>IF((F$3&gt;0),(1000*('Data Entry'!E9/'Data Entry'!E$6)), 0)</f>
        <v>0</v>
      </c>
      <c r="G6" s="1">
        <f>IF((G$3&gt;0),(1000*('Data Entry'!F9/'Data Entry'!F$6)), 0)</f>
        <v>0</v>
      </c>
      <c r="H6" s="1">
        <f>IF((H$3&gt;0),(1000*('Data Entry'!G9/'Data Entry'!G$6)), 0)</f>
        <v>0</v>
      </c>
      <c r="I6" s="1">
        <f>IF((I$3&gt;0),(1000*('Data Entry'!H9/'Data Entry'!H$6)), 0)</f>
        <v>0</v>
      </c>
      <c r="J6" s="1">
        <f>IF((J$3&gt;0),(1000*('Data Entry'!I9/'Data Entry'!I$6)), 0)</f>
        <v>0</v>
      </c>
      <c r="K6" s="1">
        <f>IF((K$3&gt;0),(1000*('Data Entry'!J9/'Data Entry'!J$6)), 0)</f>
        <v>0</v>
      </c>
    </row>
    <row r="7" spans="2:11" ht="15" customHeight="1" x14ac:dyDescent="0.25">
      <c r="B7" s="16" t="s">
        <v>11</v>
      </c>
      <c r="C7" s="1">
        <f>IF((C$3&gt;0),(1000*('Data Entry'!B10/'Data Entry'!B$6)), 0)</f>
        <v>0.7607455306200076</v>
      </c>
      <c r="D7" s="1">
        <f>IF((D$3&gt;0),(1000*('Data Entry'!C10/'Data Entry'!C$6)), 0)</f>
        <v>0.84853627492575301</v>
      </c>
      <c r="E7" s="1">
        <f>IF((E$3&gt;0),(1000*('Data Entry'!D10/'Data Entry'!D$6)), 0)</f>
        <v>0</v>
      </c>
      <c r="F7" s="1">
        <f>IF((F$3&gt;0),(1000*('Data Entry'!E10/'Data Entry'!E$6)), 0)</f>
        <v>0</v>
      </c>
      <c r="G7" s="1">
        <f>IF((G$3&gt;0),(1000*('Data Entry'!F10/'Data Entry'!F$6)), 0)</f>
        <v>0</v>
      </c>
      <c r="H7" s="1">
        <f>IF((H$3&gt;0),(1000*('Data Entry'!G10/'Data Entry'!G$6)), 0)</f>
        <v>0</v>
      </c>
      <c r="I7" s="1">
        <f>IF((I$3&gt;0),(1000*('Data Entry'!H10/'Data Entry'!H$6)), 0)</f>
        <v>0</v>
      </c>
      <c r="J7" s="1">
        <f>IF((J$3&gt;0),(1000*('Data Entry'!I10/'Data Entry'!I$6)), 0)</f>
        <v>0</v>
      </c>
      <c r="K7" s="1">
        <f>IF((K$3&gt;0),(1000*('Data Entry'!J10/'Data Entry'!J$6)), 0)</f>
        <v>0</v>
      </c>
    </row>
    <row r="8" spans="2:11" ht="15" customHeight="1" x14ac:dyDescent="0.25">
      <c r="B8" s="16" t="s">
        <v>95</v>
      </c>
      <c r="C8" s="1">
        <f>IF((C$3&gt;0),(1000*('Data Entry'!B11/'Data Entry'!B$6)), 0)</f>
        <v>5.7055914796500566</v>
      </c>
      <c r="D8" s="1">
        <f>IF((D$3&gt;0),(1000*('Data Entry'!C11/'Data Entry'!C$6)), 0)</f>
        <v>5.5154857870173952</v>
      </c>
      <c r="E8" s="1">
        <f>IF((E$3&gt;0),(1000*('Data Entry'!D11/'Data Entry'!D$6)), 0)</f>
        <v>0</v>
      </c>
      <c r="F8" s="1">
        <f>IF((F$3&gt;0),(1000*('Data Entry'!E11/'Data Entry'!E$6)), 0)</f>
        <v>0</v>
      </c>
      <c r="G8" s="1">
        <f>IF((G$3&gt;0),(1000*('Data Entry'!F11/'Data Entry'!F$6)), 0)</f>
        <v>0</v>
      </c>
      <c r="H8" s="1">
        <f>IF((H$3&gt;0),(1000*('Data Entry'!G11/'Data Entry'!G$6)), 0)</f>
        <v>0</v>
      </c>
      <c r="I8" s="1">
        <f>IF((I$3&gt;0),(1000*('Data Entry'!H11/'Data Entry'!H$6)), 0)</f>
        <v>7.6335877862595414</v>
      </c>
      <c r="J8" s="1">
        <f>IF((J$3&gt;0),(1000*('Data Entry'!I11/'Data Entry'!I$6)), 0)</f>
        <v>0</v>
      </c>
      <c r="K8" s="1">
        <f>IF((K$3&gt;0),(1000*('Data Entry'!J11/'Data Entry'!J$6)), 0)</f>
        <v>7.3529411764705879</v>
      </c>
    </row>
    <row r="9" spans="2:11" ht="15" customHeight="1" x14ac:dyDescent="0.25">
      <c r="B9" s="16" t="s">
        <v>13</v>
      </c>
      <c r="C9" s="1">
        <f>IF((C$3&gt;0),(1000*('Data Entry'!B12/'Data Entry'!B$6)), 0)</f>
        <v>5.3252187143400525</v>
      </c>
      <c r="D9" s="1">
        <f>IF((D$3&gt;0),(1000*('Data Entry'!C12/'Data Entry'!C$6)), 0)</f>
        <v>5.0912176495545181</v>
      </c>
      <c r="E9" s="1">
        <f>IF((E$3&gt;0),(1000*('Data Entry'!D12/'Data Entry'!D$6)), 0)</f>
        <v>0</v>
      </c>
      <c r="F9" s="1">
        <f>IF((F$3&gt;0),(1000*('Data Entry'!E12/'Data Entry'!E$6)), 0)</f>
        <v>0</v>
      </c>
      <c r="G9" s="1">
        <f>IF((G$3&gt;0),(1000*('Data Entry'!F12/'Data Entry'!F$6)), 0)</f>
        <v>0</v>
      </c>
      <c r="H9" s="1">
        <f>IF((H$3&gt;0),(1000*('Data Entry'!G12/'Data Entry'!G$6)), 0)</f>
        <v>0</v>
      </c>
      <c r="I9" s="1">
        <f>IF((I$3&gt;0),(1000*('Data Entry'!H12/'Data Entry'!H$6)), 0)</f>
        <v>7.6335877862595414</v>
      </c>
      <c r="J9" s="1">
        <f>IF((J$3&gt;0),(1000*('Data Entry'!I12/'Data Entry'!I$6)), 0)</f>
        <v>0</v>
      </c>
      <c r="K9" s="1">
        <f>IF((K$3&gt;0),(1000*('Data Entry'!J12/'Data Entry'!J$6)), 0)</f>
        <v>7.3529411764705879</v>
      </c>
    </row>
    <row r="10" spans="2:11" ht="15" customHeight="1" x14ac:dyDescent="0.25">
      <c r="B10" s="16" t="s">
        <v>14</v>
      </c>
      <c r="C10" s="1">
        <f>IF((C$3&gt;0),(1000*('Data Entry'!B13/'Data Entry'!B$6)), 0)</f>
        <v>10.270064663370103</v>
      </c>
      <c r="D10" s="1">
        <f>IF((D$3&gt;0),(1000*('Data Entry'!C13/'Data Entry'!C$6)), 0)</f>
        <v>9.7581671616461598</v>
      </c>
      <c r="E10" s="1">
        <f>IF((E$3&gt;0),(1000*('Data Entry'!D13/'Data Entry'!D$6)), 0)</f>
        <v>0</v>
      </c>
      <c r="F10" s="1">
        <f>IF((F$3&gt;0),(1000*('Data Entry'!E13/'Data Entry'!E$6)), 0)</f>
        <v>0</v>
      </c>
      <c r="G10" s="1">
        <f>IF((G$3&gt;0),(1000*('Data Entry'!F13/'Data Entry'!F$6)), 0)</f>
        <v>0</v>
      </c>
      <c r="H10" s="1">
        <f>IF((H$3&gt;0),(1000*('Data Entry'!G13/'Data Entry'!G$6)), 0)</f>
        <v>0</v>
      </c>
      <c r="I10" s="1">
        <f>IF((I$3&gt;0),(1000*('Data Entry'!H13/'Data Entry'!H$6)), 0)</f>
        <v>7.6335877862595414</v>
      </c>
      <c r="J10" s="1">
        <f>IF((J$3&gt;0),(1000*('Data Entry'!I13/'Data Entry'!I$6)), 0)</f>
        <v>0</v>
      </c>
      <c r="K10" s="1">
        <f>IF((K$3&gt;0),(1000*('Data Entry'!J13/'Data Entry'!J$6)), 0)</f>
        <v>7.3529411764705879</v>
      </c>
    </row>
    <row r="11" spans="2:11" ht="25.5" customHeight="1" x14ac:dyDescent="0.25">
      <c r="B11" s="16" t="s">
        <v>15</v>
      </c>
      <c r="C11" s="1">
        <f>IF((C$3&gt;0),(1000*('Data Entry'!B14/'Data Entry'!B$6)), 0)</f>
        <v>1.901863826550019</v>
      </c>
      <c r="D11" s="1">
        <f>IF((D$3&gt;0),(1000*('Data Entry'!C14/'Data Entry'!C$6)), 0)</f>
        <v>1.697072549851506</v>
      </c>
      <c r="E11" s="1">
        <f>IF((E$3&gt;0),(1000*('Data Entry'!D14/'Data Entry'!D$6)), 0)</f>
        <v>0</v>
      </c>
      <c r="F11" s="1">
        <f>IF((F$3&gt;0),(1000*('Data Entry'!E14/'Data Entry'!E$6)), 0)</f>
        <v>0</v>
      </c>
      <c r="G11" s="1">
        <f>IF((G$3&gt;0),(1000*('Data Entry'!F14/'Data Entry'!F$6)), 0)</f>
        <v>0</v>
      </c>
      <c r="H11" s="1">
        <f>IF((H$3&gt;0),(1000*('Data Entry'!G14/'Data Entry'!G$6)), 0)</f>
        <v>0</v>
      </c>
      <c r="I11" s="1">
        <f>IF((I$3&gt;0),(1000*('Data Entry'!H14/'Data Entry'!H$6)), 0)</f>
        <v>0</v>
      </c>
      <c r="J11" s="1">
        <f>IF((J$3&gt;0),(1000*('Data Entry'!I14/'Data Entry'!I$6)), 0)</f>
        <v>0</v>
      </c>
      <c r="K11" s="1">
        <f>IF((K$3&gt;0),(1000*('Data Entry'!J14/'Data Entry'!J$6)), 0)</f>
        <v>3.6764705882352939</v>
      </c>
    </row>
    <row r="12" spans="2:11" ht="15" customHeight="1" x14ac:dyDescent="0.25">
      <c r="B12" s="16" t="s">
        <v>16</v>
      </c>
      <c r="C12" s="1">
        <f>IF((C$3&gt;0),(1000*('Data Entry'!B15/'Data Entry'!B$6)), 0)</f>
        <v>0</v>
      </c>
      <c r="D12" s="1">
        <f>IF((D$3&gt;0),(1000*('Data Entry'!C15/'Data Entry'!C$6)), 0)</f>
        <v>0</v>
      </c>
      <c r="E12" s="1">
        <f>IF((E$3&gt;0),(1000*('Data Entry'!D15/'Data Entry'!D$6)), 0)</f>
        <v>0</v>
      </c>
      <c r="F12" s="1">
        <f>IF((F$3&gt;0),(1000*('Data Entry'!E15/'Data Entry'!E$6)), 0)</f>
        <v>0</v>
      </c>
      <c r="G12" s="1">
        <f>IF((G$3&gt;0),(1000*('Data Entry'!F15/'Data Entry'!F$6)), 0)</f>
        <v>0</v>
      </c>
      <c r="H12" s="1">
        <f>IF((H$3&gt;0),(1000*('Data Entry'!G15/'Data Entry'!G$6)), 0)</f>
        <v>0</v>
      </c>
      <c r="I12" s="1">
        <f>IF((I$3&gt;0),(1000*('Data Entry'!H15/'Data Entry'!H$6)), 0)</f>
        <v>0</v>
      </c>
      <c r="J12" s="1">
        <f>IF((J$3&gt;0),(1000*('Data Entry'!I15/'Data Entry'!I$6)), 0)</f>
        <v>0</v>
      </c>
      <c r="K12" s="1">
        <f>IF((K$3&gt;0),(1000*('Data Entry'!J15/'Data Entry'!J$6)), 0)</f>
        <v>0</v>
      </c>
    </row>
    <row r="13" spans="2:11" ht="15.75" customHeight="1" x14ac:dyDescent="0.25">
      <c r="B13" s="16"/>
    </row>
    <row r="14" spans="2:11" ht="15" customHeight="1" x14ac:dyDescent="0.25">
      <c r="B14" s="220" t="s">
        <v>98</v>
      </c>
      <c r="C14" s="221"/>
      <c r="D14" s="221"/>
      <c r="E14" s="221"/>
      <c r="F14" s="64"/>
      <c r="G14" s="64"/>
      <c r="H14" s="64"/>
      <c r="I14" s="64"/>
      <c r="J14" s="65"/>
    </row>
    <row r="15" spans="2:11" ht="15" customHeight="1" x14ac:dyDescent="0.25">
      <c r="B15" s="79"/>
      <c r="C15" s="8"/>
      <c r="D15" s="8"/>
      <c r="E15" s="1"/>
      <c r="F15" s="1" t="str">
        <f>'Data Entry'!C3</f>
        <v xml:space="preserve">Reporting Period:  </v>
      </c>
      <c r="G15" s="1"/>
      <c r="H15" s="1"/>
      <c r="I15" s="1"/>
      <c r="J15" s="67"/>
    </row>
    <row r="16" spans="2:11" ht="15" customHeight="1" x14ac:dyDescent="0.25">
      <c r="B16" s="80" t="str">
        <f>'Data Entry'!A2</f>
        <v>State: Michigan</v>
      </c>
      <c r="C16" s="8"/>
      <c r="D16" s="8"/>
      <c r="E16" s="1"/>
      <c r="F16" s="1" t="str">
        <f>'Data Entry'!C4</f>
        <v>10/1/20 through 9/30/21</v>
      </c>
      <c r="G16" s="1"/>
      <c r="H16" s="1"/>
      <c r="I16" s="1"/>
      <c r="J16" s="67"/>
    </row>
    <row r="17" spans="2:10" ht="15" customHeight="1" x14ac:dyDescent="0.25">
      <c r="B17" s="81" t="str">
        <f>'Data Entry'!A3</f>
        <v>County: Emmet</v>
      </c>
      <c r="C17" s="82"/>
      <c r="D17" s="82"/>
      <c r="E17" s="82"/>
      <c r="F17" s="82"/>
      <c r="G17" s="82"/>
      <c r="H17" s="82"/>
      <c r="I17" s="82"/>
      <c r="J17" s="83"/>
    </row>
    <row r="18" spans="2:10" ht="75" customHeight="1" x14ac:dyDescent="0.25">
      <c r="B18" s="66"/>
      <c r="C18" s="8" t="str">
        <f>D2</f>
        <v>White</v>
      </c>
      <c r="D18" s="8" t="str">
        <f t="shared" ref="D18:J18" si="0">E2</f>
        <v>Black or African American</v>
      </c>
      <c r="E18" s="8" t="str">
        <f t="shared" si="0"/>
        <v>Hispanic or Latino</v>
      </c>
      <c r="F18" s="8" t="str">
        <f t="shared" si="0"/>
        <v>Asian</v>
      </c>
      <c r="G18" s="8" t="str">
        <f t="shared" si="0"/>
        <v>Native Hawaiian or Other Pacific Islanders</v>
      </c>
      <c r="H18" s="8" t="str">
        <f t="shared" si="0"/>
        <v>American Indian or Alaska Native</v>
      </c>
      <c r="I18" s="8" t="str">
        <f t="shared" si="0"/>
        <v>Biracial or Other</v>
      </c>
      <c r="J18" s="84" t="str">
        <f t="shared" si="0"/>
        <v>All Minorities</v>
      </c>
    </row>
    <row r="19" spans="2:10" ht="15" customHeight="1" x14ac:dyDescent="0.25">
      <c r="B19" s="71" t="s">
        <v>8</v>
      </c>
      <c r="C19" s="72">
        <f>IF(AND(($D4&gt;0),(D4&gt;0)), (D4/$D4),"--")</f>
        <v>1</v>
      </c>
      <c r="D19" s="72" t="str">
        <f t="shared" ref="D19:J19" si="1">IF(AND(($D4&gt;0),(E4&gt;0)), (E4/$D4),"--")</f>
        <v>--</v>
      </c>
      <c r="E19" s="72" t="str">
        <f t="shared" si="1"/>
        <v>--</v>
      </c>
      <c r="F19" s="72" t="str">
        <f t="shared" si="1"/>
        <v>--</v>
      </c>
      <c r="G19" s="72" t="str">
        <f t="shared" si="1"/>
        <v>--</v>
      </c>
      <c r="H19" s="72" t="str">
        <f t="shared" si="1"/>
        <v>--</v>
      </c>
      <c r="I19" s="72" t="str">
        <f t="shared" si="1"/>
        <v>--</v>
      </c>
      <c r="J19" s="73" t="str">
        <f t="shared" si="1"/>
        <v>--</v>
      </c>
    </row>
    <row r="20" spans="2:10" ht="15" customHeight="1" x14ac:dyDescent="0.25">
      <c r="B20" s="71" t="s">
        <v>9</v>
      </c>
      <c r="C20" s="72">
        <f t="shared" ref="C20:J27" si="2">IF(AND(($D5&gt;0),(D5&gt;0)), (D5/$D5),"--")</f>
        <v>1</v>
      </c>
      <c r="D20" s="72" t="str">
        <f t="shared" si="2"/>
        <v>--</v>
      </c>
      <c r="E20" s="72" t="str">
        <f t="shared" si="2"/>
        <v>--</v>
      </c>
      <c r="F20" s="72" t="str">
        <f t="shared" si="2"/>
        <v>--</v>
      </c>
      <c r="G20" s="72" t="str">
        <f t="shared" si="2"/>
        <v>--</v>
      </c>
      <c r="H20" s="72">
        <f t="shared" si="2"/>
        <v>0.6663839411931014</v>
      </c>
      <c r="I20" s="72" t="str">
        <f t="shared" si="2"/>
        <v>--</v>
      </c>
      <c r="J20" s="73">
        <f t="shared" si="2"/>
        <v>0.64188453159041392</v>
      </c>
    </row>
    <row r="21" spans="2:10" ht="15" customHeight="1" x14ac:dyDescent="0.25">
      <c r="B21" s="71" t="s">
        <v>10</v>
      </c>
      <c r="C21" s="72">
        <f t="shared" si="2"/>
        <v>1</v>
      </c>
      <c r="D21" s="72" t="str">
        <f t="shared" si="2"/>
        <v>--</v>
      </c>
      <c r="E21" s="72" t="str">
        <f t="shared" si="2"/>
        <v>--</v>
      </c>
      <c r="F21" s="72" t="str">
        <f t="shared" si="2"/>
        <v>--</v>
      </c>
      <c r="G21" s="72" t="str">
        <f t="shared" si="2"/>
        <v>--</v>
      </c>
      <c r="H21" s="72" t="str">
        <f t="shared" si="2"/>
        <v>--</v>
      </c>
      <c r="I21" s="72" t="str">
        <f t="shared" si="2"/>
        <v>--</v>
      </c>
      <c r="J21" s="73" t="str">
        <f t="shared" si="2"/>
        <v>--</v>
      </c>
    </row>
    <row r="22" spans="2:10" ht="15" customHeight="1" x14ac:dyDescent="0.25">
      <c r="B22" s="71" t="s">
        <v>11</v>
      </c>
      <c r="C22" s="72">
        <f t="shared" si="2"/>
        <v>1</v>
      </c>
      <c r="D22" s="72" t="str">
        <f t="shared" si="2"/>
        <v>--</v>
      </c>
      <c r="E22" s="72" t="str">
        <f t="shared" si="2"/>
        <v>--</v>
      </c>
      <c r="F22" s="72" t="str">
        <f t="shared" si="2"/>
        <v>--</v>
      </c>
      <c r="G22" s="72" t="str">
        <f t="shared" si="2"/>
        <v>--</v>
      </c>
      <c r="H22" s="72" t="str">
        <f t="shared" si="2"/>
        <v>--</v>
      </c>
      <c r="I22" s="72" t="str">
        <f t="shared" si="2"/>
        <v>--</v>
      </c>
      <c r="J22" s="73" t="str">
        <f t="shared" si="2"/>
        <v>--</v>
      </c>
    </row>
    <row r="23" spans="2:10" ht="15" customHeight="1" x14ac:dyDescent="0.25">
      <c r="B23" s="71" t="s">
        <v>95</v>
      </c>
      <c r="C23" s="72">
        <f t="shared" si="2"/>
        <v>1</v>
      </c>
      <c r="D23" s="72" t="str">
        <f t="shared" si="2"/>
        <v>--</v>
      </c>
      <c r="E23" s="72" t="str">
        <f t="shared" si="2"/>
        <v>--</v>
      </c>
      <c r="F23" s="72" t="str">
        <f t="shared" si="2"/>
        <v>--</v>
      </c>
      <c r="G23" s="72" t="str">
        <f t="shared" si="2"/>
        <v>--</v>
      </c>
      <c r="H23" s="72">
        <f t="shared" si="2"/>
        <v>1.384028185554903</v>
      </c>
      <c r="I23" s="72" t="str">
        <f t="shared" si="2"/>
        <v>--</v>
      </c>
      <c r="J23" s="73">
        <f t="shared" si="2"/>
        <v>1.3331447963800904</v>
      </c>
    </row>
    <row r="24" spans="2:10" ht="15" customHeight="1" x14ac:dyDescent="0.25">
      <c r="B24" s="71" t="s">
        <v>13</v>
      </c>
      <c r="C24" s="72">
        <f t="shared" si="2"/>
        <v>1</v>
      </c>
      <c r="D24" s="72" t="str">
        <f t="shared" si="2"/>
        <v>--</v>
      </c>
      <c r="E24" s="72" t="str">
        <f t="shared" si="2"/>
        <v>--</v>
      </c>
      <c r="F24" s="72" t="str">
        <f t="shared" si="2"/>
        <v>--</v>
      </c>
      <c r="G24" s="72" t="str">
        <f t="shared" si="2"/>
        <v>--</v>
      </c>
      <c r="H24" s="72">
        <f t="shared" si="2"/>
        <v>1.4993638676844783</v>
      </c>
      <c r="I24" s="72" t="str">
        <f t="shared" si="2"/>
        <v>--</v>
      </c>
      <c r="J24" s="73">
        <f t="shared" si="2"/>
        <v>1.4442401960784315</v>
      </c>
    </row>
    <row r="25" spans="2:10" ht="15" customHeight="1" x14ac:dyDescent="0.25">
      <c r="B25" s="71" t="s">
        <v>14</v>
      </c>
      <c r="C25" s="72">
        <f t="shared" si="2"/>
        <v>1</v>
      </c>
      <c r="D25" s="72" t="str">
        <f t="shared" si="2"/>
        <v>--</v>
      </c>
      <c r="E25" s="72" t="str">
        <f t="shared" si="2"/>
        <v>--</v>
      </c>
      <c r="F25" s="72" t="str">
        <f t="shared" si="2"/>
        <v>--</v>
      </c>
      <c r="G25" s="72" t="str">
        <f t="shared" si="2"/>
        <v>--</v>
      </c>
      <c r="H25" s="72">
        <f t="shared" si="2"/>
        <v>0.78227680053103221</v>
      </c>
      <c r="I25" s="72" t="str">
        <f t="shared" si="2"/>
        <v>--</v>
      </c>
      <c r="J25" s="73">
        <f t="shared" si="2"/>
        <v>0.75351662404092068</v>
      </c>
    </row>
    <row r="26" spans="2:10" ht="25.5" customHeight="1" x14ac:dyDescent="0.25">
      <c r="B26" s="71" t="s">
        <v>15</v>
      </c>
      <c r="C26" s="72">
        <f t="shared" si="2"/>
        <v>1</v>
      </c>
      <c r="D26" s="72" t="str">
        <f t="shared" si="2"/>
        <v>--</v>
      </c>
      <c r="E26" s="72" t="str">
        <f t="shared" si="2"/>
        <v>--</v>
      </c>
      <c r="F26" s="72" t="str">
        <f t="shared" si="2"/>
        <v>--</v>
      </c>
      <c r="G26" s="72" t="str">
        <f t="shared" si="2"/>
        <v>--</v>
      </c>
      <c r="H26" s="72" t="str">
        <f t="shared" si="2"/>
        <v>--</v>
      </c>
      <c r="I26" s="72" t="str">
        <f t="shared" si="2"/>
        <v>--</v>
      </c>
      <c r="J26" s="73">
        <f t="shared" si="2"/>
        <v>2.1663602941176472</v>
      </c>
    </row>
    <row r="27" spans="2:10" ht="15" customHeight="1" x14ac:dyDescent="0.25">
      <c r="B27" s="71" t="s">
        <v>16</v>
      </c>
      <c r="C27" s="72" t="str">
        <f t="shared" si="2"/>
        <v>--</v>
      </c>
      <c r="D27" s="72" t="str">
        <f t="shared" si="2"/>
        <v>--</v>
      </c>
      <c r="E27" s="72" t="str">
        <f t="shared" si="2"/>
        <v>--</v>
      </c>
      <c r="F27" s="72" t="str">
        <f t="shared" si="2"/>
        <v>--</v>
      </c>
      <c r="G27" s="72" t="str">
        <f t="shared" si="2"/>
        <v>--</v>
      </c>
      <c r="H27" s="72" t="str">
        <f t="shared" si="2"/>
        <v>--</v>
      </c>
      <c r="I27" s="72" t="str">
        <f t="shared" si="2"/>
        <v>--</v>
      </c>
      <c r="J27" s="73" t="str">
        <f t="shared" si="2"/>
        <v>--</v>
      </c>
    </row>
    <row r="28" spans="2:10" ht="15" customHeight="1" x14ac:dyDescent="0.25">
      <c r="B28" s="85" t="s">
        <v>96</v>
      </c>
      <c r="C28" s="86"/>
      <c r="D28" s="87" t="str">
        <f>Summary!C16</f>
        <v>Yes</v>
      </c>
      <c r="E28" s="87" t="str">
        <f>Summary!D16</f>
        <v>Yes</v>
      </c>
      <c r="F28" s="87" t="str">
        <f>Summary!E16</f>
        <v>Yes</v>
      </c>
      <c r="G28" s="87" t="str">
        <f>Summary!F16</f>
        <v>No</v>
      </c>
      <c r="H28" s="87" t="str">
        <f>Summary!G16</f>
        <v>Yes</v>
      </c>
      <c r="I28" s="87" t="str">
        <f>Summary!H16</f>
        <v>No</v>
      </c>
      <c r="J28" s="88"/>
    </row>
    <row r="29" spans="2:10" ht="15" customHeight="1" x14ac:dyDescent="0.25">
      <c r="B29" s="66"/>
      <c r="C29" s="1"/>
      <c r="D29" s="1"/>
      <c r="E29" s="1"/>
      <c r="F29" s="1"/>
      <c r="G29" s="1"/>
      <c r="H29" s="1"/>
      <c r="I29" s="1"/>
      <c r="J29" s="67"/>
    </row>
    <row r="30" spans="2:10" ht="15.75" customHeight="1" x14ac:dyDescent="0.25">
      <c r="B30" s="76">
        <f>'Black or African-American'!B16</f>
        <v>0</v>
      </c>
      <c r="C30" s="77"/>
      <c r="D30" s="77"/>
      <c r="E30" s="77"/>
      <c r="F30" s="77"/>
      <c r="G30" s="77"/>
      <c r="H30" s="77"/>
      <c r="I30" s="77"/>
      <c r="J30" s="78"/>
    </row>
  </sheetData>
  <sheetProtection password="C722" objects="1"/>
  <mergeCells count="1">
    <mergeCell ref="B14:E14"/>
  </mergeCells>
  <phoneticPr fontId="0" type="noConversion"/>
  <pageMargins left="0.99" right="0.75" top="1" bottom="1" header="0.5" footer="0.5"/>
  <pageSetup orientation="landscape"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3:J15"/>
  <sheetViews>
    <sheetView zoomScaleNormal="100" workbookViewId="0">
      <selection activeCell="I5" sqref="I5"/>
    </sheetView>
  </sheetViews>
  <sheetFormatPr defaultColWidth="10.28515625" defaultRowHeight="12.75" customHeight="1" x14ac:dyDescent="0.25"/>
  <cols>
    <col min="1" max="1" width="33.140625" style="1" customWidth="1"/>
  </cols>
  <sheetData>
    <row r="3" spans="1:10" ht="15" customHeight="1" x14ac:dyDescent="0.2">
      <c r="A3" s="48" t="s">
        <v>99</v>
      </c>
    </row>
    <row r="4" spans="1:10" ht="103.5" customHeight="1" x14ac:dyDescent="0.25">
      <c r="A4" s="223" t="s">
        <v>100</v>
      </c>
      <c r="B4" s="223"/>
      <c r="C4" s="223"/>
      <c r="D4" s="223"/>
      <c r="E4" s="223"/>
      <c r="F4" s="223"/>
      <c r="G4" s="223"/>
      <c r="H4" s="223"/>
      <c r="I4" s="223"/>
      <c r="J4" s="223"/>
    </row>
    <row r="6" spans="1:10" ht="15" customHeight="1" x14ac:dyDescent="0.25">
      <c r="A6" s="1" t="s">
        <v>101</v>
      </c>
      <c r="B6" s="1">
        <v>0.05</v>
      </c>
    </row>
    <row r="7" spans="1:10" ht="15" hidden="1" customHeight="1" x14ac:dyDescent="0.25">
      <c r="D7" s="21">
        <f>IF(B6=0.01,6.636,IF(B6=0.1,2.706,3.841))</f>
        <v>3.8410000000000002</v>
      </c>
      <c r="E7" s="21" t="s">
        <v>102</v>
      </c>
      <c r="F7" s="21"/>
    </row>
    <row r="8" spans="1:10" ht="15" customHeight="1" x14ac:dyDescent="0.25">
      <c r="D8" s="21"/>
      <c r="E8" s="21"/>
      <c r="F8" s="21"/>
    </row>
    <row r="9" spans="1:10" ht="15.75" customHeight="1" x14ac:dyDescent="0.25">
      <c r="A9" s="89" t="s">
        <v>103</v>
      </c>
    </row>
    <row r="10" spans="1:10" ht="85.5" customHeight="1" x14ac:dyDescent="0.25">
      <c r="A10" s="222" t="s">
        <v>104</v>
      </c>
      <c r="B10" s="222"/>
      <c r="C10" s="222"/>
      <c r="D10" s="222"/>
      <c r="E10" s="222"/>
      <c r="F10" s="222"/>
      <c r="G10" s="222"/>
      <c r="H10" s="222"/>
      <c r="I10" s="222"/>
      <c r="J10" s="222"/>
    </row>
    <row r="11" spans="1:10" ht="15.75" customHeight="1" x14ac:dyDescent="0.25">
      <c r="A11" s="90"/>
    </row>
    <row r="12" spans="1:10" ht="15.75" customHeight="1" x14ac:dyDescent="0.25">
      <c r="A12" s="90" t="s">
        <v>105</v>
      </c>
      <c r="B12" s="57">
        <v>5</v>
      </c>
    </row>
    <row r="13" spans="1:10" ht="15.75" customHeight="1" x14ac:dyDescent="0.25">
      <c r="A13" s="90" t="s">
        <v>106</v>
      </c>
      <c r="B13" s="57">
        <v>30</v>
      </c>
    </row>
    <row r="14" spans="1:10" ht="15.75" customHeight="1" x14ac:dyDescent="0.25">
      <c r="A14" s="17"/>
    </row>
    <row r="15" spans="1:10" ht="15.75" customHeight="1" x14ac:dyDescent="0.25">
      <c r="A15" s="1">
        <f>'Data Entry'!A17</f>
        <v>0</v>
      </c>
      <c r="C15" s="17"/>
    </row>
  </sheetData>
  <mergeCells count="2">
    <mergeCell ref="A10:J10"/>
    <mergeCell ref="A4:J4"/>
  </mergeCells>
  <phoneticPr fontId="0" type="noConversion"/>
  <pageMargins left="0.75" right="0.75" top="1" bottom="1" header="0.5" footer="0.5"/>
  <pageSetup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autoPageBreaks="0"/>
  </sheetPr>
  <dimension ref="A1:AA30"/>
  <sheetViews>
    <sheetView showGridLines="0" tabSelected="1" zoomScaleNormal="100" workbookViewId="0">
      <selection activeCell="AC14" sqref="AC14"/>
    </sheetView>
  </sheetViews>
  <sheetFormatPr defaultColWidth="10.28515625" defaultRowHeight="12.75" customHeight="1" x14ac:dyDescent="0.25"/>
  <cols>
    <col min="1" max="1" width="5.28515625" style="1" customWidth="1"/>
    <col min="2" max="2" width="41.42578125" style="1" bestFit="1" customWidth="1"/>
    <col min="3" max="3" width="8.140625" style="1" customWidth="1"/>
    <col min="4" max="4" width="8.42578125" style="1" bestFit="1" customWidth="1"/>
    <col min="5" max="8" width="7.42578125" style="1" customWidth="1"/>
    <col min="9" max="10" width="7.42578125" customWidth="1"/>
    <col min="11" max="13" width="7.42578125" style="1" customWidth="1"/>
    <col min="14" max="15" width="7.7109375" style="1" customWidth="1"/>
    <col min="16" max="16" width="8.42578125" style="1" bestFit="1" customWidth="1"/>
    <col min="17" max="17" width="7.42578125" style="1" customWidth="1"/>
    <col min="18" max="18" width="10.28515625" customWidth="1"/>
    <col min="19" max="23" width="0" style="1" hidden="1" customWidth="1"/>
    <col min="24" max="24" width="9.7109375" style="1" hidden="1" customWidth="1"/>
    <col min="25" max="27" width="0" style="1" hidden="1" customWidth="1"/>
  </cols>
  <sheetData>
    <row r="1" spans="2:26" ht="15.75" customHeight="1" thickBot="1" x14ac:dyDescent="0.3"/>
    <row r="2" spans="2:26" ht="27" thickTop="1" thickBot="1" x14ac:dyDescent="0.3">
      <c r="B2" s="179" t="s">
        <v>121</v>
      </c>
      <c r="C2" s="180"/>
      <c r="D2" s="180"/>
      <c r="E2" s="180"/>
      <c r="F2" s="180"/>
      <c r="G2" s="180"/>
      <c r="H2" s="180"/>
      <c r="I2" s="180"/>
      <c r="J2" s="180"/>
      <c r="K2" s="180"/>
      <c r="L2" s="180"/>
      <c r="M2" s="180"/>
      <c r="N2" s="180"/>
      <c r="O2" s="180"/>
      <c r="P2" s="180"/>
      <c r="Q2" s="181"/>
    </row>
    <row r="3" spans="2:26" s="1" customFormat="1" ht="19.5" thickTop="1" x14ac:dyDescent="0.35">
      <c r="B3" s="98" t="str">
        <f>'Data Entry'!A2</f>
        <v>State: Michigan</v>
      </c>
      <c r="C3" s="96"/>
      <c r="D3" s="96"/>
      <c r="E3" s="96"/>
      <c r="F3" s="96"/>
      <c r="G3" s="96"/>
      <c r="H3" s="96"/>
      <c r="I3" s="96"/>
      <c r="J3" s="96"/>
      <c r="K3" s="96"/>
      <c r="L3" s="96"/>
      <c r="M3" s="96"/>
      <c r="N3" s="187" t="str">
        <f>'Data Entry'!C3</f>
        <v xml:space="preserve">Reporting Period:  </v>
      </c>
      <c r="O3" s="188"/>
      <c r="P3" s="188"/>
      <c r="Q3" s="189"/>
      <c r="R3"/>
    </row>
    <row r="4" spans="2:26" s="1" customFormat="1" ht="19.5" thickBot="1" x14ac:dyDescent="0.4">
      <c r="B4" s="102" t="str">
        <f>'Data Entry'!A3</f>
        <v>County: Emmet</v>
      </c>
      <c r="C4" s="103"/>
      <c r="D4" s="103"/>
      <c r="E4" s="103"/>
      <c r="F4" s="103"/>
      <c r="G4" s="103"/>
      <c r="H4" s="103"/>
      <c r="I4" s="103"/>
      <c r="J4" s="103"/>
      <c r="K4" s="103"/>
      <c r="L4" s="103"/>
      <c r="M4" s="103"/>
      <c r="N4" s="184" t="str">
        <f>'Data Entry'!C4</f>
        <v>10/1/20 through 9/30/21</v>
      </c>
      <c r="O4" s="185"/>
      <c r="P4" s="185"/>
      <c r="Q4" s="186"/>
      <c r="R4"/>
    </row>
    <row r="5" spans="2:26" s="93" customFormat="1" ht="71.25" customHeight="1" x14ac:dyDescent="0.35">
      <c r="B5" s="100"/>
      <c r="C5" s="175" t="s">
        <v>3</v>
      </c>
      <c r="D5" s="182" t="str">
        <f>'Black or African-American'!$F$1</f>
        <v>Black or African American</v>
      </c>
      <c r="E5" s="183"/>
      <c r="F5" s="182" t="str">
        <f>Hispanic!F1</f>
        <v>Hispanic or Latino</v>
      </c>
      <c r="G5" s="183"/>
      <c r="H5" s="182" t="str">
        <f>Asian!F1</f>
        <v>Asian</v>
      </c>
      <c r="I5" s="183"/>
      <c r="J5" s="182" t="str">
        <f>Hawaiian!F1</f>
        <v>Native Hawaiian or Other Pacific Islanders</v>
      </c>
      <c r="K5" s="183"/>
      <c r="L5" s="182" t="str">
        <f>'Data Entry'!H5</f>
        <v>American Indian or Alaska Native</v>
      </c>
      <c r="M5" s="183"/>
      <c r="N5" s="182" t="str">
        <f>'Data Entry'!I5</f>
        <v>Biracial or Other</v>
      </c>
      <c r="O5" s="183"/>
      <c r="P5" s="182" t="str">
        <f>'Data Entry'!J5</f>
        <v>All Minorities</v>
      </c>
      <c r="Q5" s="190"/>
      <c r="T5" s="69"/>
      <c r="U5" s="69"/>
      <c r="V5" s="69"/>
      <c r="W5" s="69"/>
    </row>
    <row r="6" spans="2:26" s="93" customFormat="1" ht="18" customHeight="1" x14ac:dyDescent="0.35">
      <c r="B6" s="165" t="s">
        <v>119</v>
      </c>
      <c r="C6" s="153" t="s">
        <v>117</v>
      </c>
      <c r="D6" s="154" t="s">
        <v>117</v>
      </c>
      <c r="E6" s="155" t="s">
        <v>118</v>
      </c>
      <c r="F6" s="154" t="s">
        <v>117</v>
      </c>
      <c r="G6" s="155" t="s">
        <v>118</v>
      </c>
      <c r="H6" s="154" t="s">
        <v>117</v>
      </c>
      <c r="I6" s="155" t="s">
        <v>118</v>
      </c>
      <c r="J6" s="154" t="s">
        <v>117</v>
      </c>
      <c r="K6" s="155" t="s">
        <v>118</v>
      </c>
      <c r="L6" s="154" t="s">
        <v>117</v>
      </c>
      <c r="M6" s="155" t="s">
        <v>118</v>
      </c>
      <c r="N6" s="154" t="s">
        <v>117</v>
      </c>
      <c r="O6" s="155" t="s">
        <v>118</v>
      </c>
      <c r="P6" s="154" t="s">
        <v>117</v>
      </c>
      <c r="Q6" s="156" t="s">
        <v>118</v>
      </c>
    </row>
    <row r="7" spans="2:26" s="135" customFormat="1" ht="18" customHeight="1" x14ac:dyDescent="0.3">
      <c r="B7" s="150" t="str">
        <f>'Data Entry'!A6</f>
        <v xml:space="preserve">1. Population at Risk (age 10 through 16) </v>
      </c>
      <c r="C7" s="104">
        <f>'Data Entry'!C6</f>
        <v>2357</v>
      </c>
      <c r="D7" s="105">
        <f>'Data Entry'!D6</f>
        <v>42</v>
      </c>
      <c r="E7" s="106"/>
      <c r="F7" s="107">
        <f>'Data Entry'!E6</f>
        <v>72</v>
      </c>
      <c r="G7" s="106"/>
      <c r="H7" s="107">
        <f>'Data Entry'!F6</f>
        <v>27</v>
      </c>
      <c r="I7" s="106"/>
      <c r="J7" s="107">
        <f>'Data Entry'!G6</f>
        <v>0</v>
      </c>
      <c r="K7" s="106"/>
      <c r="L7" s="107">
        <f>'Data Entry'!H6</f>
        <v>131</v>
      </c>
      <c r="M7" s="106"/>
      <c r="N7" s="107">
        <f>'Data Entry'!I6</f>
        <v>0</v>
      </c>
      <c r="O7" s="106"/>
      <c r="P7" s="107">
        <f>'Data Entry'!J6</f>
        <v>272</v>
      </c>
      <c r="Q7" s="108"/>
    </row>
    <row r="8" spans="2:26" s="1" customFormat="1" ht="15" customHeight="1" x14ac:dyDescent="0.3">
      <c r="B8" s="149" t="s">
        <v>8</v>
      </c>
      <c r="C8" s="104">
        <f>'Data Entry'!C7</f>
        <v>3</v>
      </c>
      <c r="D8" s="105">
        <f>'Data Entry'!D7</f>
        <v>0</v>
      </c>
      <c r="E8" s="106" t="str">
        <f>'Black or African-American'!$G7</f>
        <v>**</v>
      </c>
      <c r="F8" s="107">
        <f>'Data Entry'!E7</f>
        <v>0</v>
      </c>
      <c r="G8" s="106" t="str">
        <f>Hispanic!G7</f>
        <v>**</v>
      </c>
      <c r="H8" s="107">
        <f>'Data Entry'!F7</f>
        <v>0</v>
      </c>
      <c r="I8" s="106" t="str">
        <f>Asian!G7</f>
        <v>**</v>
      </c>
      <c r="J8" s="107">
        <f>'Data Entry'!G7</f>
        <v>0</v>
      </c>
      <c r="K8" s="106" t="str">
        <f>Hawaiian!G7</f>
        <v>*</v>
      </c>
      <c r="L8" s="107">
        <f>'Data Entry'!H7</f>
        <v>0</v>
      </c>
      <c r="M8" s="106" t="str">
        <f>'Am Indian'!G7</f>
        <v>**</v>
      </c>
      <c r="N8" s="107">
        <f>'Data Entry'!I7</f>
        <v>0</v>
      </c>
      <c r="O8" s="106" t="str">
        <f>'Other - Mixed'!G7</f>
        <v>*</v>
      </c>
      <c r="P8" s="107">
        <f>'Data Entry'!J7</f>
        <v>0</v>
      </c>
      <c r="Q8" s="108" t="str">
        <f>'All Minorities'!G7</f>
        <v>**</v>
      </c>
      <c r="R8"/>
      <c r="T8" s="1">
        <f>'Black or African-American'!L7</f>
        <v>40</v>
      </c>
      <c r="U8" s="1">
        <f>Hispanic!L7</f>
        <v>40</v>
      </c>
      <c r="V8" s="1">
        <f>Asian!L7</f>
        <v>40</v>
      </c>
      <c r="W8" s="1" t="e">
        <f>Hawaiian!L7</f>
        <v>#VALUE!</v>
      </c>
      <c r="X8" s="1">
        <f>'Am Indian'!L7</f>
        <v>40</v>
      </c>
      <c r="Y8" s="1" t="e">
        <f>'Other - Mixed'!L7</f>
        <v>#VALUE!</v>
      </c>
      <c r="Z8" s="1">
        <f>'All Minorities'!L7</f>
        <v>40</v>
      </c>
    </row>
    <row r="9" spans="2:26" s="1" customFormat="1" ht="15" customHeight="1" x14ac:dyDescent="0.3">
      <c r="B9" s="149" t="s">
        <v>134</v>
      </c>
      <c r="C9" s="104">
        <f>'Data Entry'!C8</f>
        <v>27</v>
      </c>
      <c r="D9" s="109">
        <f>'Data Entry'!D8</f>
        <v>0</v>
      </c>
      <c r="E9" s="110" t="str">
        <f>'Black or African-American'!$G8</f>
        <v>**</v>
      </c>
      <c r="F9" s="111">
        <f>'Data Entry'!E8</f>
        <v>0</v>
      </c>
      <c r="G9" s="110" t="str">
        <f>Hispanic!G8</f>
        <v>**</v>
      </c>
      <c r="H9" s="111">
        <f>'Data Entry'!F8</f>
        <v>0</v>
      </c>
      <c r="I9" s="110" t="str">
        <f>Asian!G8</f>
        <v>**</v>
      </c>
      <c r="J9" s="111">
        <f>'Data Entry'!G8</f>
        <v>0</v>
      </c>
      <c r="K9" s="110" t="str">
        <f>Hawaiian!G8</f>
        <v>*</v>
      </c>
      <c r="L9" s="111">
        <f>'Data Entry'!H8</f>
        <v>1</v>
      </c>
      <c r="M9" s="110" t="str">
        <f>'Am Indian'!G8</f>
        <v>**</v>
      </c>
      <c r="N9" s="111">
        <f>'Data Entry'!I8</f>
        <v>1</v>
      </c>
      <c r="O9" s="110" t="str">
        <f>'Other - Mixed'!G8</f>
        <v>*</v>
      </c>
      <c r="P9" s="111">
        <f>'Data Entry'!J8</f>
        <v>2</v>
      </c>
      <c r="Q9" s="112" t="str">
        <f>'All Minorities'!G8</f>
        <v>**</v>
      </c>
      <c r="R9"/>
      <c r="T9" s="1">
        <f>'Black or African-American'!L8</f>
        <v>40</v>
      </c>
      <c r="U9" s="1">
        <f>Hispanic!L8</f>
        <v>40</v>
      </c>
      <c r="V9" s="1">
        <f>Asian!L8</f>
        <v>40</v>
      </c>
      <c r="W9" s="1">
        <f>Hawaiian!L8</f>
        <v>139</v>
      </c>
      <c r="X9" s="1">
        <f>'Am Indian'!L8</f>
        <v>40</v>
      </c>
      <c r="Y9" s="1">
        <f>'Other - Mixed'!L8</f>
        <v>139</v>
      </c>
      <c r="Z9" s="1">
        <f>'All Minorities'!L8</f>
        <v>40</v>
      </c>
    </row>
    <row r="10" spans="2:26" s="1" customFormat="1" ht="15" customHeight="1" x14ac:dyDescent="0.3">
      <c r="B10" s="149" t="s">
        <v>10</v>
      </c>
      <c r="C10" s="104">
        <f>'Data Entry'!C9</f>
        <v>1</v>
      </c>
      <c r="D10" s="113">
        <f>'Data Entry'!D9</f>
        <v>0</v>
      </c>
      <c r="E10" s="114" t="str">
        <f>'Black or African-American'!$G9</f>
        <v>--</v>
      </c>
      <c r="F10" s="115">
        <f>'Data Entry'!E9</f>
        <v>0</v>
      </c>
      <c r="G10" s="114" t="str">
        <f>Hispanic!G9</f>
        <v>--</v>
      </c>
      <c r="H10" s="115">
        <f>'Data Entry'!F9</f>
        <v>0</v>
      </c>
      <c r="I10" s="114" t="str">
        <f>Asian!G9</f>
        <v>--</v>
      </c>
      <c r="J10" s="115">
        <f>'Data Entry'!G9</f>
        <v>0</v>
      </c>
      <c r="K10" s="114" t="str">
        <f>Hawaiian!G9</f>
        <v>*</v>
      </c>
      <c r="L10" s="115">
        <f>'Data Entry'!H9</f>
        <v>0</v>
      </c>
      <c r="M10" s="114" t="str">
        <f>'Am Indian'!G9</f>
        <v>**</v>
      </c>
      <c r="N10" s="115">
        <f>'Data Entry'!I9</f>
        <v>0</v>
      </c>
      <c r="O10" s="114" t="str">
        <f>'Other - Mixed'!G9</f>
        <v>*</v>
      </c>
      <c r="P10" s="115">
        <f>'Data Entry'!J9</f>
        <v>0</v>
      </c>
      <c r="Q10" s="116" t="str">
        <f>'All Minorities'!G9</f>
        <v>**</v>
      </c>
      <c r="R10"/>
      <c r="T10" s="1" t="e">
        <f>'Black or African-American'!L9</f>
        <v>#VALUE!</v>
      </c>
      <c r="U10" s="1" t="e">
        <f>Hispanic!L9</f>
        <v>#VALUE!</v>
      </c>
      <c r="V10" s="1" t="e">
        <f>Asian!L9</f>
        <v>#VALUE!</v>
      </c>
      <c r="W10" s="1" t="e">
        <f>Hawaiian!L9</f>
        <v>#VALUE!</v>
      </c>
      <c r="X10" s="1">
        <f>'Am Indian'!L9</f>
        <v>40</v>
      </c>
      <c r="Y10" s="1">
        <f>'Other - Mixed'!L9</f>
        <v>139</v>
      </c>
      <c r="Z10" s="1">
        <f>'All Minorities'!L9</f>
        <v>40</v>
      </c>
    </row>
    <row r="11" spans="2:26" s="1" customFormat="1" ht="15" customHeight="1" x14ac:dyDescent="0.3">
      <c r="B11" s="149" t="s">
        <v>11</v>
      </c>
      <c r="C11" s="104">
        <f>'Data Entry'!C10</f>
        <v>2</v>
      </c>
      <c r="D11" s="109">
        <f>'Data Entry'!D10</f>
        <v>0</v>
      </c>
      <c r="E11" s="110" t="str">
        <f>'Black or African-American'!$G10</f>
        <v>--</v>
      </c>
      <c r="F11" s="111">
        <f>'Data Entry'!E10</f>
        <v>0</v>
      </c>
      <c r="G11" s="110" t="str">
        <f>Hispanic!G10</f>
        <v>--</v>
      </c>
      <c r="H11" s="111">
        <f>'Data Entry'!F10</f>
        <v>0</v>
      </c>
      <c r="I11" s="110" t="str">
        <f>Asian!G10</f>
        <v>--</v>
      </c>
      <c r="J11" s="111">
        <f>'Data Entry'!G10</f>
        <v>0</v>
      </c>
      <c r="K11" s="110" t="str">
        <f>Hawaiian!G10</f>
        <v>*</v>
      </c>
      <c r="L11" s="111">
        <f>'Data Entry'!H10</f>
        <v>0</v>
      </c>
      <c r="M11" s="110" t="str">
        <f>'Am Indian'!G10</f>
        <v>**</v>
      </c>
      <c r="N11" s="111">
        <f>'Data Entry'!I10</f>
        <v>0</v>
      </c>
      <c r="O11" s="110" t="str">
        <f>'Other - Mixed'!G10</f>
        <v>*</v>
      </c>
      <c r="P11" s="111">
        <f>'Data Entry'!J10</f>
        <v>0</v>
      </c>
      <c r="Q11" s="112" t="str">
        <f>'All Minorities'!G10</f>
        <v>**</v>
      </c>
      <c r="R11"/>
      <c r="T11" s="1" t="e">
        <f>'Black or African-American'!L10</f>
        <v>#VALUE!</v>
      </c>
      <c r="U11" s="1" t="e">
        <f>Hispanic!L10</f>
        <v>#VALUE!</v>
      </c>
      <c r="V11" s="1" t="e">
        <f>Asian!L10</f>
        <v>#VALUE!</v>
      </c>
      <c r="W11" s="1" t="e">
        <f>Hawaiian!L10</f>
        <v>#VALUE!</v>
      </c>
      <c r="X11" s="1">
        <f>'Am Indian'!L10</f>
        <v>40</v>
      </c>
      <c r="Y11" s="1">
        <f>'Other - Mixed'!L10</f>
        <v>139</v>
      </c>
      <c r="Z11" s="1">
        <f>'All Minorities'!L10</f>
        <v>40</v>
      </c>
    </row>
    <row r="12" spans="2:26" s="1" customFormat="1" ht="15" customHeight="1" x14ac:dyDescent="0.3">
      <c r="B12" s="149" t="s">
        <v>95</v>
      </c>
      <c r="C12" s="104">
        <f>'Data Entry'!C11</f>
        <v>13</v>
      </c>
      <c r="D12" s="113">
        <f>'Data Entry'!D11</f>
        <v>0</v>
      </c>
      <c r="E12" s="114" t="str">
        <f>'Black or African-American'!$G11</f>
        <v>--</v>
      </c>
      <c r="F12" s="115">
        <f>'Data Entry'!E11</f>
        <v>0</v>
      </c>
      <c r="G12" s="114" t="str">
        <f>Hispanic!G11</f>
        <v>--</v>
      </c>
      <c r="H12" s="115">
        <f>'Data Entry'!F11</f>
        <v>0</v>
      </c>
      <c r="I12" s="114" t="str">
        <f>Asian!G11</f>
        <v>--</v>
      </c>
      <c r="J12" s="115">
        <f>'Data Entry'!G11</f>
        <v>0</v>
      </c>
      <c r="K12" s="114" t="str">
        <f>Hawaiian!G11</f>
        <v>*</v>
      </c>
      <c r="L12" s="115">
        <f>'Data Entry'!H11</f>
        <v>1</v>
      </c>
      <c r="M12" s="114" t="str">
        <f>'Am Indian'!G11</f>
        <v>**</v>
      </c>
      <c r="N12" s="115">
        <f>'Data Entry'!I11</f>
        <v>1</v>
      </c>
      <c r="O12" s="114" t="str">
        <f>'Other - Mixed'!G11</f>
        <v>*</v>
      </c>
      <c r="P12" s="115">
        <f>'Data Entry'!J11</f>
        <v>2</v>
      </c>
      <c r="Q12" s="116" t="str">
        <f>'All Minorities'!G11</f>
        <v>**</v>
      </c>
      <c r="R12"/>
      <c r="T12" s="1" t="e">
        <f>'Black or African-American'!L11</f>
        <v>#VALUE!</v>
      </c>
      <c r="U12" s="1" t="e">
        <f>Hispanic!L11</f>
        <v>#VALUE!</v>
      </c>
      <c r="V12" s="1" t="e">
        <f>Asian!L11</f>
        <v>#VALUE!</v>
      </c>
      <c r="W12" s="1" t="e">
        <f>Hawaiian!L11</f>
        <v>#VALUE!</v>
      </c>
      <c r="X12" s="1">
        <f>'Am Indian'!L11</f>
        <v>40</v>
      </c>
      <c r="Y12" s="1">
        <f>'Other - Mixed'!L11</f>
        <v>139</v>
      </c>
      <c r="Z12" s="1">
        <f>'All Minorities'!L11</f>
        <v>40</v>
      </c>
    </row>
    <row r="13" spans="2:26" s="1" customFormat="1" ht="15" customHeight="1" x14ac:dyDescent="0.3">
      <c r="B13" s="149" t="s">
        <v>13</v>
      </c>
      <c r="C13" s="104">
        <f>'Data Entry'!C12</f>
        <v>12</v>
      </c>
      <c r="D13" s="109">
        <f>'Data Entry'!D12</f>
        <v>0</v>
      </c>
      <c r="E13" s="110" t="str">
        <f>'Black or African-American'!$G12</f>
        <v>--</v>
      </c>
      <c r="F13" s="111">
        <f>'Data Entry'!E12</f>
        <v>0</v>
      </c>
      <c r="G13" s="110" t="str">
        <f>Hispanic!G12</f>
        <v>--</v>
      </c>
      <c r="H13" s="111">
        <f>'Data Entry'!F12</f>
        <v>0</v>
      </c>
      <c r="I13" s="110" t="str">
        <f>Asian!G12</f>
        <v>--</v>
      </c>
      <c r="J13" s="111">
        <f>'Data Entry'!G12</f>
        <v>0</v>
      </c>
      <c r="K13" s="110" t="str">
        <f>Hawaiian!G12</f>
        <v>*</v>
      </c>
      <c r="L13" s="111">
        <f>'Data Entry'!H12</f>
        <v>1</v>
      </c>
      <c r="M13" s="110" t="str">
        <f>'Am Indian'!G12</f>
        <v>**</v>
      </c>
      <c r="N13" s="111">
        <f>'Data Entry'!I12</f>
        <v>1</v>
      </c>
      <c r="O13" s="110" t="str">
        <f>'Other - Mixed'!G12</f>
        <v>*</v>
      </c>
      <c r="P13" s="111">
        <f>'Data Entry'!J12</f>
        <v>2</v>
      </c>
      <c r="Q13" s="112" t="str">
        <f>'All Minorities'!G12</f>
        <v>**</v>
      </c>
      <c r="R13"/>
      <c r="T13" s="1" t="e">
        <f>'Black or African-American'!L12</f>
        <v>#VALUE!</v>
      </c>
      <c r="U13" s="1" t="e">
        <f>Hispanic!L12</f>
        <v>#VALUE!</v>
      </c>
      <c r="V13" s="1" t="e">
        <f>Asian!L12</f>
        <v>#VALUE!</v>
      </c>
      <c r="W13" s="1" t="e">
        <f>Hawaiian!L12</f>
        <v>#VALUE!</v>
      </c>
      <c r="X13" s="1">
        <f>'Am Indian'!L12</f>
        <v>40</v>
      </c>
      <c r="Y13" s="1">
        <f>'Other - Mixed'!L12</f>
        <v>139</v>
      </c>
      <c r="Z13" s="1">
        <f>'All Minorities'!L12</f>
        <v>40</v>
      </c>
    </row>
    <row r="14" spans="2:26" s="1" customFormat="1" ht="15" customHeight="1" x14ac:dyDescent="0.3">
      <c r="B14" s="149" t="s">
        <v>133</v>
      </c>
      <c r="C14" s="104">
        <f>'Data Entry'!C13</f>
        <v>23</v>
      </c>
      <c r="D14" s="113">
        <f>'Data Entry'!D13</f>
        <v>0</v>
      </c>
      <c r="E14" s="114" t="str">
        <f>'Black or African-American'!$G13</f>
        <v>--</v>
      </c>
      <c r="F14" s="115">
        <f>'Data Entry'!E13</f>
        <v>0</v>
      </c>
      <c r="G14" s="114" t="str">
        <f>Hispanic!G13</f>
        <v>--</v>
      </c>
      <c r="H14" s="115">
        <f>'Data Entry'!F13</f>
        <v>0</v>
      </c>
      <c r="I14" s="114" t="str">
        <f>Asian!G13</f>
        <v>--</v>
      </c>
      <c r="J14" s="115">
        <f>'Data Entry'!G13</f>
        <v>0</v>
      </c>
      <c r="K14" s="114" t="str">
        <f>Hawaiian!G13</f>
        <v>*</v>
      </c>
      <c r="L14" s="115">
        <f>'Data Entry'!H13</f>
        <v>1</v>
      </c>
      <c r="M14" s="114" t="str">
        <f>'Am Indian'!G13</f>
        <v>**</v>
      </c>
      <c r="N14" s="115">
        <f>'Data Entry'!I13</f>
        <v>1</v>
      </c>
      <c r="O14" s="114" t="str">
        <f>'Other - Mixed'!G13</f>
        <v>*</v>
      </c>
      <c r="P14" s="115">
        <f>'Data Entry'!J13</f>
        <v>2</v>
      </c>
      <c r="Q14" s="116" t="str">
        <f>'All Minorities'!G13</f>
        <v>**</v>
      </c>
      <c r="R14"/>
      <c r="T14" s="1" t="e">
        <f>'Black or African-American'!L13</f>
        <v>#VALUE!</v>
      </c>
      <c r="U14" s="1" t="e">
        <f>Hispanic!L13</f>
        <v>#VALUE!</v>
      </c>
      <c r="V14" s="1" t="e">
        <f>Asian!L13</f>
        <v>#VALUE!</v>
      </c>
      <c r="W14" s="1" t="e">
        <f>Hawaiian!L13</f>
        <v>#VALUE!</v>
      </c>
      <c r="X14" s="1">
        <f>'Am Indian'!L13</f>
        <v>40</v>
      </c>
      <c r="Y14" s="1">
        <f>'Other - Mixed'!L13</f>
        <v>139</v>
      </c>
      <c r="Z14" s="1">
        <f>'All Minorities'!L13</f>
        <v>40</v>
      </c>
    </row>
    <row r="15" spans="2:26" s="1" customFormat="1" ht="33" x14ac:dyDescent="0.3">
      <c r="B15" s="151" t="s">
        <v>123</v>
      </c>
      <c r="C15" s="104">
        <f>'Data Entry'!C14</f>
        <v>4</v>
      </c>
      <c r="D15" s="109">
        <f>'Data Entry'!D14</f>
        <v>0</v>
      </c>
      <c r="E15" s="110" t="str">
        <f>'Black or African-American'!$G14</f>
        <v>--</v>
      </c>
      <c r="F15" s="111">
        <f>'Data Entry'!E14</f>
        <v>0</v>
      </c>
      <c r="G15" s="110" t="str">
        <f>Hispanic!G14</f>
        <v>--</v>
      </c>
      <c r="H15" s="111">
        <f>'Data Entry'!F14</f>
        <v>0</v>
      </c>
      <c r="I15" s="110" t="str">
        <f>Asian!G14</f>
        <v>--</v>
      </c>
      <c r="J15" s="111">
        <f>'Data Entry'!G14</f>
        <v>0</v>
      </c>
      <c r="K15" s="110" t="str">
        <f>Hawaiian!G14</f>
        <v>*</v>
      </c>
      <c r="L15" s="111">
        <f>'Data Entry'!H14</f>
        <v>0</v>
      </c>
      <c r="M15" s="110" t="str">
        <f>'Am Indian'!G14</f>
        <v>**</v>
      </c>
      <c r="N15" s="111">
        <f>'Data Entry'!I14</f>
        <v>1</v>
      </c>
      <c r="O15" s="110" t="str">
        <f>'Other - Mixed'!G14</f>
        <v>*</v>
      </c>
      <c r="P15" s="111">
        <f>'Data Entry'!J14</f>
        <v>1</v>
      </c>
      <c r="Q15" s="112" t="str">
        <f>'All Minorities'!G14</f>
        <v>**</v>
      </c>
      <c r="R15"/>
      <c r="T15" s="1" t="e">
        <f>'Black or African-American'!L14</f>
        <v>#VALUE!</v>
      </c>
      <c r="U15" s="1" t="e">
        <f>Hispanic!L14</f>
        <v>#VALUE!</v>
      </c>
      <c r="V15" s="1" t="e">
        <f>Asian!L14</f>
        <v>#VALUE!</v>
      </c>
      <c r="W15" s="1" t="e">
        <f>Hawaiian!L14</f>
        <v>#VALUE!</v>
      </c>
      <c r="X15" s="1">
        <f>'Am Indian'!L14</f>
        <v>40</v>
      </c>
      <c r="Y15" s="1">
        <f>'Other - Mixed'!L14</f>
        <v>139</v>
      </c>
      <c r="Z15" s="1">
        <f>'All Minorities'!L14</f>
        <v>40</v>
      </c>
    </row>
    <row r="16" spans="2:26" s="1" customFormat="1" ht="15" customHeight="1" x14ac:dyDescent="0.3">
      <c r="B16" s="149" t="s">
        <v>16</v>
      </c>
      <c r="C16" s="104">
        <f>'Data Entry'!C15</f>
        <v>0</v>
      </c>
      <c r="D16" s="117">
        <f>'Data Entry'!D15</f>
        <v>0</v>
      </c>
      <c r="E16" s="118" t="str">
        <f>'Black or African-American'!$G15</f>
        <v>--</v>
      </c>
      <c r="F16" s="119">
        <f>'Data Entry'!E15</f>
        <v>0</v>
      </c>
      <c r="G16" s="118" t="str">
        <f>Hispanic!G15</f>
        <v>--</v>
      </c>
      <c r="H16" s="119">
        <f>'Data Entry'!F15</f>
        <v>0</v>
      </c>
      <c r="I16" s="118" t="str">
        <f>Asian!G15</f>
        <v>--</v>
      </c>
      <c r="J16" s="119">
        <f>'Data Entry'!G15</f>
        <v>0</v>
      </c>
      <c r="K16" s="118" t="str">
        <f>Hawaiian!G15</f>
        <v>*</v>
      </c>
      <c r="L16" s="119">
        <f>'Data Entry'!H15</f>
        <v>0</v>
      </c>
      <c r="M16" s="118" t="str">
        <f>'Am Indian'!G15</f>
        <v>--</v>
      </c>
      <c r="N16" s="119">
        <f>'Data Entry'!I15</f>
        <v>0</v>
      </c>
      <c r="O16" s="118" t="str">
        <f>'Other - Mixed'!G15</f>
        <v>*</v>
      </c>
      <c r="P16" s="119">
        <f>'Data Entry'!J15</f>
        <v>0</v>
      </c>
      <c r="Q16" s="120" t="str">
        <f>'All Minorities'!G15</f>
        <v>--</v>
      </c>
      <c r="R16"/>
      <c r="T16" s="1" t="e">
        <f>'Black or African-American'!L15</f>
        <v>#VALUE!</v>
      </c>
      <c r="U16" s="1" t="e">
        <f>Hispanic!L15</f>
        <v>#VALUE!</v>
      </c>
      <c r="V16" s="1" t="e">
        <f>Asian!L15</f>
        <v>#VALUE!</v>
      </c>
      <c r="W16" s="1" t="e">
        <f>Hawaiian!L15</f>
        <v>#VALUE!</v>
      </c>
      <c r="X16" s="1" t="e">
        <f>'Am Indian'!L15</f>
        <v>#VALUE!</v>
      </c>
      <c r="Y16" s="1" t="e">
        <f>'Other - Mixed'!L15</f>
        <v>#VALUE!</v>
      </c>
      <c r="Z16" s="1" t="e">
        <f>'All Minorities'!L15</f>
        <v>#VALUE!</v>
      </c>
    </row>
    <row r="17" spans="2:18" s="1" customFormat="1" ht="15" customHeight="1" thickBot="1" x14ac:dyDescent="0.4">
      <c r="B17" s="152" t="s">
        <v>96</v>
      </c>
      <c r="C17" s="99" t="str">
        <f>'Data Entry'!C16</f>
        <v>Yes</v>
      </c>
      <c r="D17" s="133"/>
      <c r="E17" s="146" t="str">
        <f>'Data Entry'!$D$16</f>
        <v>Yes</v>
      </c>
      <c r="F17" s="133"/>
      <c r="G17" s="146" t="str">
        <f>'Data Entry'!$E$16</f>
        <v>Yes</v>
      </c>
      <c r="H17" s="133"/>
      <c r="I17" s="146" t="str">
        <f>'Data Entry'!F16</f>
        <v>Yes</v>
      </c>
      <c r="J17" s="133"/>
      <c r="K17" s="146" t="str">
        <f>'Data Entry'!G16</f>
        <v>No</v>
      </c>
      <c r="L17" s="133"/>
      <c r="M17" s="146" t="str">
        <f>'Data Entry'!H16</f>
        <v>Yes</v>
      </c>
      <c r="N17" s="133"/>
      <c r="O17" s="146" t="str">
        <f>'Data Entry'!I16</f>
        <v>No</v>
      </c>
      <c r="P17" s="133"/>
      <c r="Q17" s="147" t="str">
        <f>'Data Entry'!J16</f>
        <v>Yes</v>
      </c>
      <c r="R17"/>
    </row>
    <row r="18" spans="2:18" ht="15" customHeight="1" thickTop="1" thickBot="1" x14ac:dyDescent="0.35">
      <c r="B18" s="94"/>
      <c r="C18" s="94"/>
      <c r="D18" s="94"/>
      <c r="E18" s="94"/>
      <c r="F18" s="94"/>
      <c r="G18" s="94"/>
      <c r="H18" s="94"/>
      <c r="I18" s="94"/>
      <c r="J18" s="94"/>
      <c r="K18" s="94"/>
      <c r="L18" s="94"/>
      <c r="M18" s="94"/>
      <c r="N18" s="94"/>
      <c r="O18" s="94"/>
      <c r="P18" s="94"/>
      <c r="Q18" s="94"/>
    </row>
    <row r="19" spans="2:18" ht="18" customHeight="1" thickBot="1" x14ac:dyDescent="0.4">
      <c r="B19" s="95"/>
      <c r="C19" s="134"/>
      <c r="D19" s="136"/>
      <c r="E19" s="136"/>
      <c r="F19" s="136"/>
      <c r="G19" s="136"/>
      <c r="H19" s="138" t="s">
        <v>128</v>
      </c>
      <c r="I19" s="139" t="s">
        <v>51</v>
      </c>
      <c r="J19" s="136"/>
      <c r="K19" s="136"/>
      <c r="L19" s="136"/>
      <c r="M19" s="136"/>
      <c r="N19" s="136"/>
      <c r="O19" s="137"/>
      <c r="P19" s="94"/>
      <c r="Q19" s="94"/>
    </row>
    <row r="20" spans="2:18" ht="16.5" x14ac:dyDescent="0.3">
      <c r="B20" s="94"/>
      <c r="C20" s="160" t="s">
        <v>125</v>
      </c>
      <c r="D20" s="166"/>
      <c r="E20" s="167"/>
      <c r="F20" s="168"/>
      <c r="G20" s="169" t="s">
        <v>53</v>
      </c>
      <c r="H20" s="166"/>
      <c r="I20" s="160" t="s">
        <v>56</v>
      </c>
      <c r="J20" s="166"/>
      <c r="K20" s="166"/>
      <c r="L20" s="166"/>
      <c r="M20" s="166"/>
      <c r="N20" s="166"/>
      <c r="O20" s="161" t="s">
        <v>57</v>
      </c>
      <c r="Q20" s="94"/>
    </row>
    <row r="21" spans="2:18" ht="15" customHeight="1" x14ac:dyDescent="0.3">
      <c r="B21" s="94"/>
      <c r="C21" s="162" t="s">
        <v>127</v>
      </c>
      <c r="D21" s="166"/>
      <c r="E21" s="170"/>
      <c r="F21" s="166"/>
      <c r="G21" s="171" t="s">
        <v>55</v>
      </c>
      <c r="H21" s="166"/>
      <c r="I21" s="162" t="s">
        <v>58</v>
      </c>
      <c r="J21" s="166"/>
      <c r="K21" s="166"/>
      <c r="L21" s="166"/>
      <c r="M21" s="166"/>
      <c r="N21" s="166"/>
      <c r="O21" s="163" t="s">
        <v>59</v>
      </c>
      <c r="Q21" s="94"/>
    </row>
    <row r="22" spans="2:18" ht="15" customHeight="1" thickBot="1" x14ac:dyDescent="0.35">
      <c r="B22" s="94"/>
      <c r="C22" s="172"/>
      <c r="D22" s="173"/>
      <c r="E22" s="173"/>
      <c r="F22" s="173"/>
      <c r="G22" s="173"/>
      <c r="H22" s="173"/>
      <c r="I22" s="174" t="s">
        <v>60</v>
      </c>
      <c r="J22" s="173"/>
      <c r="K22" s="173"/>
      <c r="L22" s="173"/>
      <c r="M22" s="173"/>
      <c r="N22" s="173"/>
      <c r="O22" s="164" t="s">
        <v>61</v>
      </c>
      <c r="Q22" s="94"/>
    </row>
    <row r="23" spans="2:18" ht="15" customHeight="1" x14ac:dyDescent="0.3">
      <c r="B23" s="94"/>
      <c r="C23" s="94"/>
      <c r="D23" s="94"/>
      <c r="E23"/>
      <c r="F23"/>
      <c r="G23"/>
      <c r="H23"/>
      <c r="K23"/>
      <c r="L23"/>
      <c r="M23" s="94"/>
      <c r="N23" s="94"/>
      <c r="O23" s="94"/>
      <c r="P23" s="94"/>
      <c r="Q23" s="94"/>
    </row>
    <row r="24" spans="2:18" ht="15" customHeight="1" x14ac:dyDescent="0.3">
      <c r="B24" s="94"/>
      <c r="C24" s="94"/>
      <c r="D24" s="94"/>
      <c r="E24"/>
      <c r="F24"/>
      <c r="G24"/>
      <c r="H24"/>
      <c r="K24"/>
      <c r="L24"/>
      <c r="M24" s="94"/>
      <c r="N24" s="94"/>
      <c r="O24" s="94"/>
      <c r="P24" s="94"/>
      <c r="Q24" s="94"/>
    </row>
    <row r="25" spans="2:18" ht="15" customHeight="1" x14ac:dyDescent="0.25">
      <c r="B25" s="1" t="str">
        <f>'Data Entry'!A18</f>
        <v>5. DATA SOURCES &amp; NOTES</v>
      </c>
    </row>
    <row r="26" spans="2:18" ht="15" customHeight="1" x14ac:dyDescent="0.25">
      <c r="B26" s="1" t="str">
        <f>'Data Entry'!A19</f>
        <v>Item 1. Population: U.S. Census estimate (from C. Puzzanchera, A. Sladky, and W. Kang, "Easy Access to Juvenile Populations: 1990-2020," Online, accessed October 13, 2021 from http://www.ojjdp.gov/ojstatbb/ezapop/)</v>
      </c>
      <c r="E26" s="1" t="str">
        <f>'Data Entry'!D19</f>
        <v>Item 2. Arrest: Michigan State Police</v>
      </c>
      <c r="I26" s="97"/>
      <c r="J26" s="97"/>
    </row>
    <row r="27" spans="2:18" ht="12.75" customHeight="1" x14ac:dyDescent="0.25">
      <c r="B27" s="1" t="str">
        <f>'Data Entry'!A20</f>
        <v>Item 3.Referral: State Court Administrative Office</v>
      </c>
      <c r="E27" s="1" t="str">
        <f>'Data Entry'!D20</f>
        <v>Item 4.Diversion: State Court Administrative Office</v>
      </c>
      <c r="I27" s="97"/>
      <c r="J27" s="97"/>
    </row>
    <row r="28" spans="2:18" ht="12.75" customHeight="1" x14ac:dyDescent="0.25">
      <c r="B28" s="1" t="str">
        <f>'Data Entry'!A21</f>
        <v>Item 5.Detention: State Court Administrative Office</v>
      </c>
      <c r="E28" s="1" t="str">
        <f>'Data Entry'!D21</f>
        <v>Item 6.Petitioned: State Court Administrative Office</v>
      </c>
      <c r="I28" s="97"/>
      <c r="J28" s="97"/>
    </row>
    <row r="29" spans="2:18" ht="12.75" customHeight="1" x14ac:dyDescent="0.25">
      <c r="B29" s="1" t="str">
        <f>'Data Entry'!A22</f>
        <v>Item 7.Delinquent: State Court Administrative Office</v>
      </c>
      <c r="E29" s="1" t="str">
        <f>'Data Entry'!D22</f>
        <v>Item 8.Probation: State Court Administrative Office</v>
      </c>
      <c r="I29" s="97"/>
      <c r="J29" s="97"/>
    </row>
    <row r="30" spans="2:18" ht="12.75" customHeight="1" x14ac:dyDescent="0.25">
      <c r="B30" s="1" t="str">
        <f>'Data Entry'!A23</f>
        <v>Item 9.Confinement: State Court Administrative Office</v>
      </c>
      <c r="E30" s="1" t="str">
        <f>'Data Entry'!D23</f>
        <v>Item 10.Transferred: State Court Administrative Office</v>
      </c>
      <c r="I30" s="97"/>
      <c r="J30" s="97"/>
    </row>
  </sheetData>
  <sheetProtection password="C722" objects="1"/>
  <mergeCells count="10">
    <mergeCell ref="B2:Q2"/>
    <mergeCell ref="D5:E5"/>
    <mergeCell ref="F5:G5"/>
    <mergeCell ref="H5:I5"/>
    <mergeCell ref="J5:K5"/>
    <mergeCell ref="L5:M5"/>
    <mergeCell ref="N5:O5"/>
    <mergeCell ref="N4:Q4"/>
    <mergeCell ref="N3:Q3"/>
    <mergeCell ref="P5:Q5"/>
  </mergeCells>
  <conditionalFormatting sqref="M8:M16">
    <cfRule type="expression" dxfId="114" priority="9" stopIfTrue="1">
      <formula>X8=1</formula>
    </cfRule>
  </conditionalFormatting>
  <conditionalFormatting sqref="G8:G16">
    <cfRule type="expression" dxfId="113" priority="10" stopIfTrue="1">
      <formula>$U8=1</formula>
    </cfRule>
  </conditionalFormatting>
  <conditionalFormatting sqref="I8:I16">
    <cfRule type="expression" dxfId="112" priority="11" stopIfTrue="1">
      <formula>$V8=1</formula>
    </cfRule>
  </conditionalFormatting>
  <conditionalFormatting sqref="K8:K16">
    <cfRule type="expression" dxfId="111" priority="12" stopIfTrue="1">
      <formula>$W8=1</formula>
    </cfRule>
  </conditionalFormatting>
  <conditionalFormatting sqref="O8:O16">
    <cfRule type="expression" dxfId="110" priority="13" stopIfTrue="1">
      <formula>$Y8=1</formula>
    </cfRule>
  </conditionalFormatting>
  <conditionalFormatting sqref="Q8:Q16">
    <cfRule type="expression" dxfId="109" priority="14" stopIfTrue="1">
      <formula>$Z8=1</formula>
    </cfRule>
  </conditionalFormatting>
  <conditionalFormatting sqref="E8:E16">
    <cfRule type="expression" dxfId="108" priority="24" stopIfTrue="1">
      <formula>T8=1</formula>
    </cfRule>
  </conditionalFormatting>
  <conditionalFormatting sqref="M7">
    <cfRule type="expression" dxfId="107" priority="1" stopIfTrue="1">
      <formula>X7=1</formula>
    </cfRule>
  </conditionalFormatting>
  <conditionalFormatting sqref="G7">
    <cfRule type="expression" dxfId="106" priority="2" stopIfTrue="1">
      <formula>$U7=1</formula>
    </cfRule>
  </conditionalFormatting>
  <conditionalFormatting sqref="I7">
    <cfRule type="expression" dxfId="105" priority="3" stopIfTrue="1">
      <formula>$V7=1</formula>
    </cfRule>
  </conditionalFormatting>
  <conditionalFormatting sqref="K7">
    <cfRule type="expression" dxfId="104" priority="4" stopIfTrue="1">
      <formula>$W7=1</formula>
    </cfRule>
  </conditionalFormatting>
  <conditionalFormatting sqref="O7">
    <cfRule type="expression" dxfId="103" priority="5" stopIfTrue="1">
      <formula>$Y7=1</formula>
    </cfRule>
  </conditionalFormatting>
  <conditionalFormatting sqref="Q7">
    <cfRule type="expression" dxfId="102" priority="6" stopIfTrue="1">
      <formula>$Z7=1</formula>
    </cfRule>
  </conditionalFormatting>
  <conditionalFormatting sqref="E7">
    <cfRule type="expression" dxfId="101" priority="7" stopIfTrue="1">
      <formula>T7=1</formula>
    </cfRule>
  </conditionalFormatting>
  <pageMargins left="1.1100000000000001" right="0.77" top="1.26" bottom="1" header="0.5" footer="0.5"/>
  <pageSetup scale="110"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5:L17"/>
  <sheetViews>
    <sheetView workbookViewId="0">
      <selection activeCell="A7" sqref="A7"/>
    </sheetView>
  </sheetViews>
  <sheetFormatPr defaultRowHeight="12.75" x14ac:dyDescent="0.2"/>
  <cols>
    <col min="1" max="1" width="36.7109375" bestFit="1" customWidth="1"/>
    <col min="2" max="2" width="23" bestFit="1" customWidth="1"/>
    <col min="9" max="9" width="10.140625" bestFit="1" customWidth="1"/>
    <col min="11" max="11" width="22.42578125" customWidth="1"/>
  </cols>
  <sheetData>
    <row r="5" spans="1:12" x14ac:dyDescent="0.2">
      <c r="A5" s="97" t="str">
        <f>'Data Entry'!A3</f>
        <v>County: Emmet</v>
      </c>
      <c r="B5" s="141"/>
      <c r="C5" s="141"/>
      <c r="D5" s="141"/>
      <c r="E5" s="141"/>
      <c r="F5" s="141"/>
      <c r="G5" s="141"/>
      <c r="H5" s="141"/>
      <c r="I5" s="141"/>
    </row>
    <row r="6" spans="1:12" x14ac:dyDescent="0.2">
      <c r="A6" s="140" t="str">
        <f>CONCATENATE("Percentage of Minorities at Stages of the Juvenile Justice System, ", A5, " 2021")</f>
        <v>Percentage of Minorities at Stages of the Juvenile Justice System, County: Emmet 2021</v>
      </c>
      <c r="B6" s="97" t="str">
        <f>'Data Entry'!D5</f>
        <v>Black or African American</v>
      </c>
      <c r="C6" s="97" t="str">
        <f>'Data Entry'!E5</f>
        <v>Hispanic or Latino</v>
      </c>
      <c r="D6" s="97" t="str">
        <f>'Data Entry'!F5</f>
        <v>Asian</v>
      </c>
      <c r="E6" s="97" t="str">
        <f>'Data Entry'!G5</f>
        <v>Native Hawaiian or Other Pacific Islanders</v>
      </c>
      <c r="F6" s="97" t="str">
        <f>'Data Entry'!H5</f>
        <v>American Indian or Alaska Native</v>
      </c>
      <c r="G6" s="97" t="str">
        <f>'Data Entry'!I5</f>
        <v>Biracial or Other</v>
      </c>
      <c r="H6" s="132" t="s">
        <v>130</v>
      </c>
      <c r="I6" s="97" t="str">
        <f>'Data Entry'!C5</f>
        <v>White</v>
      </c>
      <c r="K6" s="143" t="s">
        <v>131</v>
      </c>
      <c r="L6" s="143" t="s">
        <v>129</v>
      </c>
    </row>
    <row r="7" spans="1:12" x14ac:dyDescent="0.2">
      <c r="A7" s="132" t="str">
        <f>CONCATENATE("Waivers, total N=", 'Data Entry'!B15)</f>
        <v>Waivers, total N=0</v>
      </c>
      <c r="B7" s="157" t="e">
        <f>'Data Entry'!D15/'Data Entry'!B15</f>
        <v>#DIV/0!</v>
      </c>
      <c r="C7" s="157" t="e">
        <f>'Data Entry'!E15/'Data Entry'!B15</f>
        <v>#DIV/0!</v>
      </c>
      <c r="D7" s="157" t="e">
        <f>'Data Entry'!F15/'Data Entry'!B15</f>
        <v>#DIV/0!</v>
      </c>
      <c r="E7" s="157" t="e">
        <f>'Data Entry'!G15/'Data Entry'!B15</f>
        <v>#DIV/0!</v>
      </c>
      <c r="F7" s="157" t="e">
        <f>'Data Entry'!H15/'Data Entry'!B15</f>
        <v>#DIV/0!</v>
      </c>
      <c r="G7" s="157" t="e">
        <f>'Data Entry'!I15/'Data Entry'!B15</f>
        <v>#DIV/0!</v>
      </c>
      <c r="H7" s="157" t="e">
        <f>SUM(D7:G7)/'Data Entry'!B15</f>
        <v>#DIV/0!</v>
      </c>
      <c r="I7" s="157" t="e">
        <f>'Data Entry'!C15/'Data Entry'!B15</f>
        <v>#DIV/0!</v>
      </c>
      <c r="K7" s="97" t="str">
        <f t="shared" ref="K7:K14" si="0">A7</f>
        <v>Waivers, total N=0</v>
      </c>
      <c r="L7">
        <f>I14/(SUM(B14:G14))</f>
        <v>8.665441176470587</v>
      </c>
    </row>
    <row r="8" spans="1:12" ht="25.5" customHeight="1" x14ac:dyDescent="0.2">
      <c r="A8" s="158" t="str">
        <f>CONCATENATE("Confinement, total N=", 'Data Entry'!B14)</f>
        <v>Confinement, total N=5</v>
      </c>
      <c r="B8" s="157">
        <f>'Data Entry'!D14/'Data Entry'!B14</f>
        <v>0</v>
      </c>
      <c r="C8" s="157">
        <f>'Data Entry'!E14/'Data Entry'!B14</f>
        <v>0</v>
      </c>
      <c r="D8" s="157">
        <f>'Data Entry'!F14/'Data Entry'!B14</f>
        <v>0</v>
      </c>
      <c r="E8" s="157">
        <f>'Data Entry'!G14/'Data Entry'!B14</f>
        <v>0</v>
      </c>
      <c r="F8" s="157">
        <f>'Data Entry'!H14/'Data Entry'!B14</f>
        <v>0</v>
      </c>
      <c r="G8" s="157">
        <f>'Data Entry'!I14/'Data Entry'!B14</f>
        <v>0.2</v>
      </c>
      <c r="H8" s="157">
        <f>SUM(D8:G8)/'Data Entry'!B14</f>
        <v>0.04</v>
      </c>
      <c r="I8" s="157">
        <f>'Data Entry'!C14/'Data Entry'!B14</f>
        <v>0.8</v>
      </c>
      <c r="K8" s="97" t="str">
        <f>A8</f>
        <v>Confinement, total N=5</v>
      </c>
      <c r="L8">
        <f>I14/(SUM(B14:G14))</f>
        <v>8.665441176470587</v>
      </c>
    </row>
    <row r="9" spans="1:12" x14ac:dyDescent="0.2">
      <c r="A9" s="132" t="str">
        <f>CONCATENATE("Delinquent Findings, total N=", 'Data Entry'!B12)</f>
        <v>Delinquent Findings, total N=14</v>
      </c>
      <c r="B9" s="157">
        <f>'Data Entry'!D12/'Data Entry'!B12</f>
        <v>0</v>
      </c>
      <c r="C9" s="157">
        <f>'Data Entry'!E12/'Data Entry'!B12</f>
        <v>0</v>
      </c>
      <c r="D9" s="157">
        <f>'Data Entry'!F12/'Data Entry'!B12</f>
        <v>0</v>
      </c>
      <c r="E9" s="157">
        <f>'Data Entry'!G12/'Data Entry'!B12</f>
        <v>0</v>
      </c>
      <c r="F9" s="157">
        <f>'Data Entry'!H12/'Data Entry'!B12</f>
        <v>7.1428571428571425E-2</v>
      </c>
      <c r="G9" s="157">
        <f>'Data Entry'!I12/'Data Entry'!B12</f>
        <v>7.1428571428571425E-2</v>
      </c>
      <c r="H9" s="157">
        <f>SUM(D9:G9)/'Data Entry'!B12</f>
        <v>1.020408163265306E-2</v>
      </c>
      <c r="I9" s="157">
        <f>'Data Entry'!C12/'Data Entry'!B12</f>
        <v>0.8571428571428571</v>
      </c>
      <c r="K9" s="97" t="str">
        <f t="shared" si="0"/>
        <v>Delinquent Findings, total N=14</v>
      </c>
      <c r="L9">
        <f>I14/(SUM(B14:G14))</f>
        <v>8.665441176470587</v>
      </c>
    </row>
    <row r="10" spans="1:12" x14ac:dyDescent="0.2">
      <c r="A10" s="132" t="str">
        <f>CONCATENATE("Petitions, total N=", 'Data Entry'!B11)</f>
        <v>Petitions, total N=15</v>
      </c>
      <c r="B10" s="157">
        <f>'Data Entry'!D11/'Data Entry'!B11</f>
        <v>0</v>
      </c>
      <c r="C10" s="157">
        <f>'Data Entry'!E11/'Data Entry'!B11</f>
        <v>0</v>
      </c>
      <c r="D10" s="157">
        <f>'Data Entry'!F11/'Data Entry'!B11</f>
        <v>0</v>
      </c>
      <c r="E10" s="157">
        <f>'Data Entry'!G11/'Data Entry'!B11</f>
        <v>0</v>
      </c>
      <c r="F10" s="157">
        <f>'Data Entry'!H11/'Data Entry'!B11</f>
        <v>6.6666666666666666E-2</v>
      </c>
      <c r="G10" s="157">
        <f>'Data Entry'!I11/'Data Entry'!B11</f>
        <v>6.6666666666666666E-2</v>
      </c>
      <c r="H10" s="157">
        <f>SUM(D10:G10)/'Data Entry'!B11</f>
        <v>8.8888888888888889E-3</v>
      </c>
      <c r="I10" s="157">
        <f>'Data Entry'!C11/'Data Entry'!B11</f>
        <v>0.8666666666666667</v>
      </c>
      <c r="K10" s="97" t="str">
        <f t="shared" si="0"/>
        <v>Petitions, total N=15</v>
      </c>
      <c r="L10">
        <f>I14/(SUM(B14:G14))</f>
        <v>8.665441176470587</v>
      </c>
    </row>
    <row r="11" spans="1:12" x14ac:dyDescent="0.2">
      <c r="A11" s="132" t="str">
        <f>CONCATENATE("Detentions, total N=", 'Data Entry'!B10)</f>
        <v>Detentions, total N=2</v>
      </c>
      <c r="B11" s="157">
        <f>'Data Entry'!D10/'Data Entry'!B10</f>
        <v>0</v>
      </c>
      <c r="C11" s="157">
        <f>'Data Entry'!E10/'Data Entry'!B10</f>
        <v>0</v>
      </c>
      <c r="D11" s="157">
        <f>'Data Entry'!F10/'Data Entry'!B10</f>
        <v>0</v>
      </c>
      <c r="E11" s="157">
        <f>'Data Entry'!G10/'Data Entry'!B10</f>
        <v>0</v>
      </c>
      <c r="F11" s="157">
        <f>'Data Entry'!H10/'Data Entry'!B10</f>
        <v>0</v>
      </c>
      <c r="G11" s="157">
        <f>'Data Entry'!I10/'Data Entry'!B10</f>
        <v>0</v>
      </c>
      <c r="H11" s="157">
        <f>SUM(D11:G11)/'Data Entry'!B10</f>
        <v>0</v>
      </c>
      <c r="I11" s="157">
        <f>'Data Entry'!C10/'Data Entry'!B10</f>
        <v>1</v>
      </c>
      <c r="K11" s="97" t="str">
        <f t="shared" si="0"/>
        <v>Detentions, total N=2</v>
      </c>
      <c r="L11">
        <f>I14/(SUM(B14:G14))</f>
        <v>8.665441176470587</v>
      </c>
    </row>
    <row r="12" spans="1:12" x14ac:dyDescent="0.2">
      <c r="A12" s="132" t="str">
        <f>CONCATENATE("Referrals, total N=", 'Data Entry'!B8)</f>
        <v>Referrals, total N=31</v>
      </c>
      <c r="B12" s="157">
        <f>'Data Entry'!D8/'Data Entry'!B8</f>
        <v>0</v>
      </c>
      <c r="C12" s="157">
        <f>'Data Entry'!E8/'Data Entry'!B8</f>
        <v>0</v>
      </c>
      <c r="D12" s="157">
        <f>'Data Entry'!F8/'Data Entry'!B8</f>
        <v>0</v>
      </c>
      <c r="E12" s="157">
        <f>'Data Entry'!G8/'Data Entry'!B8</f>
        <v>0</v>
      </c>
      <c r="F12" s="157">
        <f>'Data Entry'!H8/'Data Entry'!B8</f>
        <v>3.2258064516129031E-2</v>
      </c>
      <c r="G12" s="157">
        <f>'Data Entry'!I8/'Data Entry'!B8</f>
        <v>3.2258064516129031E-2</v>
      </c>
      <c r="H12" s="157">
        <f>SUM(D12:G12)/'Data Entry'!B8</f>
        <v>2.0811654526534857E-3</v>
      </c>
      <c r="I12" s="157">
        <f>'Data Entry'!C8/'Data Entry'!B8</f>
        <v>0.87096774193548387</v>
      </c>
      <c r="K12" s="97" t="str">
        <f t="shared" si="0"/>
        <v>Referrals, total N=31</v>
      </c>
      <c r="L12">
        <f>I14/(SUM(B14:G14))</f>
        <v>8.665441176470587</v>
      </c>
    </row>
    <row r="13" spans="1:12" x14ac:dyDescent="0.2">
      <c r="A13" s="132" t="str">
        <f>CONCATENATE("Arrests, total N=", 'Data Entry'!B7)</f>
        <v>Arrests, total N=4</v>
      </c>
      <c r="B13" s="157">
        <f>'Data Entry'!D7/'Data Entry'!B7</f>
        <v>0</v>
      </c>
      <c r="C13" s="157">
        <f>'Data Entry'!E7/'Data Entry'!B7</f>
        <v>0</v>
      </c>
      <c r="D13" s="157">
        <f>'Data Entry'!F7/'Data Entry'!B7</f>
        <v>0</v>
      </c>
      <c r="E13" s="157">
        <f>'Data Entry'!G7/'Data Entry'!B7</f>
        <v>0</v>
      </c>
      <c r="F13" s="157">
        <f>'Data Entry'!H7/'Data Entry'!B7</f>
        <v>0</v>
      </c>
      <c r="G13" s="157">
        <f>'Data Entry'!I7/'Data Entry'!B7</f>
        <v>0</v>
      </c>
      <c r="H13" s="157">
        <f>SUM(D13:G13)/'Data Entry'!B7</f>
        <v>0</v>
      </c>
      <c r="I13" s="157">
        <f>'Data Entry'!C7/'Data Entry'!B7</f>
        <v>0.75</v>
      </c>
      <c r="K13" s="97" t="str">
        <f t="shared" si="0"/>
        <v>Arrests, total N=4</v>
      </c>
      <c r="L13">
        <f>I14/(SUM(B14:G14))</f>
        <v>8.665441176470587</v>
      </c>
    </row>
    <row r="14" spans="1:12" x14ac:dyDescent="0.2">
      <c r="A14" s="132" t="str">
        <f>CONCATENATE("Population, total N=", 'Data Entry'!B6)</f>
        <v>Population, total N=2629</v>
      </c>
      <c r="B14" s="157">
        <f>'Data Entry'!D6/'Data Entry'!B6</f>
        <v>1.5975656143020159E-2</v>
      </c>
      <c r="C14" s="157">
        <f>'Data Entry'!E6/'Data Entry'!B6</f>
        <v>2.7386839102320273E-2</v>
      </c>
      <c r="D14" s="157">
        <f>'Data Entry'!F6/'Data Entry'!B6</f>
        <v>1.0270064663370103E-2</v>
      </c>
      <c r="E14" s="157">
        <f>'Data Entry'!G6/'Data Entry'!B6</f>
        <v>0</v>
      </c>
      <c r="F14" s="157">
        <f>'Data Entry'!H6/'Data Entry'!B6</f>
        <v>4.9828832255610502E-2</v>
      </c>
      <c r="G14" s="157">
        <f>'Data Entry'!I6/'Data Entry'!B6</f>
        <v>0</v>
      </c>
      <c r="H14" s="157">
        <f>SUM(D14:G14)/'Data Entry'!B6</f>
        <v>2.2859983613153522E-5</v>
      </c>
      <c r="I14" s="157">
        <f>'Data Entry'!C6/'Data Entry'!B6</f>
        <v>0.89653860783567896</v>
      </c>
      <c r="K14" s="97" t="str">
        <f t="shared" si="0"/>
        <v>Population, total N=2629</v>
      </c>
      <c r="L14">
        <f>I14/(SUM(B14:G14))</f>
        <v>8.665441176470587</v>
      </c>
    </row>
    <row r="15" spans="1:12" x14ac:dyDescent="0.2">
      <c r="A15" s="97"/>
    </row>
    <row r="17" spans="2:9" x14ac:dyDescent="0.2">
      <c r="B17" s="97"/>
      <c r="C17" s="97"/>
      <c r="D17" s="97"/>
      <c r="E17" s="97"/>
      <c r="F17" s="97"/>
      <c r="G17" s="97"/>
      <c r="H17" s="97"/>
      <c r="I17" s="97"/>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autoPageBreaks="0"/>
  </sheetPr>
  <dimension ref="A1:AD30"/>
  <sheetViews>
    <sheetView showGridLines="0" zoomScaleNormal="100" workbookViewId="0">
      <selection activeCell="B60" sqref="B60"/>
    </sheetView>
  </sheetViews>
  <sheetFormatPr defaultColWidth="10.28515625" defaultRowHeight="12.75" customHeight="1" x14ac:dyDescent="0.25"/>
  <cols>
    <col min="1" max="1" width="5.28515625" style="1" customWidth="1"/>
    <col min="2" max="2" width="41.42578125" style="1" bestFit="1" customWidth="1"/>
    <col min="3" max="4" width="8.42578125" style="1" bestFit="1" customWidth="1"/>
    <col min="5" max="5" width="5.85546875" style="1" customWidth="1"/>
    <col min="6" max="6" width="7.42578125" style="1" customWidth="1"/>
    <col min="7" max="7" width="5.85546875" style="1" customWidth="1"/>
    <col min="8" max="8" width="7.42578125" style="1" customWidth="1"/>
    <col min="9" max="9" width="5.85546875" customWidth="1"/>
    <col min="10" max="10" width="8.42578125" style="1" bestFit="1" customWidth="1"/>
    <col min="11" max="11" width="5.85546875" style="1" customWidth="1"/>
    <col min="12" max="12" width="10.28515625" customWidth="1"/>
    <col min="13" max="17" width="0" style="1" hidden="1" customWidth="1"/>
    <col min="18" max="18" width="9.7109375" style="1" hidden="1" customWidth="1"/>
    <col min="19" max="21" width="0" style="1" hidden="1" customWidth="1"/>
  </cols>
  <sheetData>
    <row r="1" spans="2:30" ht="15.75" customHeight="1" thickBot="1" x14ac:dyDescent="0.3"/>
    <row r="2" spans="2:30" ht="27" thickTop="1" thickBot="1" x14ac:dyDescent="0.3">
      <c r="B2" s="179" t="s">
        <v>121</v>
      </c>
      <c r="C2" s="180"/>
      <c r="D2" s="180"/>
      <c r="E2" s="180"/>
      <c r="F2" s="180"/>
      <c r="G2" s="180"/>
      <c r="H2" s="180"/>
      <c r="I2" s="180"/>
      <c r="J2" s="180"/>
      <c r="K2" s="181"/>
    </row>
    <row r="3" spans="2:30" s="1" customFormat="1" ht="19.5" thickTop="1" x14ac:dyDescent="0.35">
      <c r="B3" s="98" t="str">
        <f>'Data Entry'!A2</f>
        <v>State: Michigan</v>
      </c>
      <c r="C3" s="122"/>
      <c r="D3" s="122"/>
      <c r="H3" s="194" t="str">
        <f>'Data Entry'!C3</f>
        <v xml:space="preserve">Reporting Period:  </v>
      </c>
      <c r="I3" s="195"/>
      <c r="J3" s="195"/>
      <c r="K3" s="196"/>
    </row>
    <row r="4" spans="2:30" s="1" customFormat="1" ht="19.5" thickBot="1" x14ac:dyDescent="0.4">
      <c r="B4" s="102" t="str">
        <f>'Data Entry'!A3</f>
        <v>County: Emmet</v>
      </c>
      <c r="C4" s="121"/>
      <c r="D4" s="121"/>
      <c r="E4" s="124"/>
      <c r="F4" s="124"/>
      <c r="G4" s="124"/>
      <c r="H4" s="184" t="str">
        <f>'Data Entry'!C4</f>
        <v>10/1/20 through 9/30/21</v>
      </c>
      <c r="I4" s="197"/>
      <c r="J4" s="197"/>
      <c r="K4" s="198"/>
    </row>
    <row r="5" spans="2:30" s="123" customFormat="1" ht="69" customHeight="1" x14ac:dyDescent="0.35">
      <c r="B5" s="100"/>
      <c r="C5" s="101" t="s">
        <v>3</v>
      </c>
      <c r="D5" s="191" t="str">
        <f>'Black or African-American'!$F$1</f>
        <v>Black or African American</v>
      </c>
      <c r="E5" s="192"/>
      <c r="F5" s="191" t="str">
        <f>Hispanic!F1</f>
        <v>Hispanic or Latino</v>
      </c>
      <c r="G5" s="192"/>
      <c r="H5" s="191" t="str">
        <f>Asian!F1</f>
        <v>Asian</v>
      </c>
      <c r="I5" s="192"/>
      <c r="J5" s="191" t="str">
        <f>'Data Entry'!J5</f>
        <v>All Minorities</v>
      </c>
      <c r="K5" s="193"/>
      <c r="N5" s="69"/>
      <c r="O5" s="69"/>
      <c r="P5" s="69"/>
      <c r="Q5" s="69"/>
    </row>
    <row r="6" spans="2:30" s="123" customFormat="1" ht="18" customHeight="1" x14ac:dyDescent="0.35">
      <c r="B6" s="159" t="s">
        <v>119</v>
      </c>
      <c r="C6" s="126" t="s">
        <v>117</v>
      </c>
      <c r="D6" s="127" t="s">
        <v>117</v>
      </c>
      <c r="E6" s="128" t="s">
        <v>118</v>
      </c>
      <c r="F6" s="127" t="s">
        <v>117</v>
      </c>
      <c r="G6" s="128" t="s">
        <v>118</v>
      </c>
      <c r="H6" s="127" t="s">
        <v>117</v>
      </c>
      <c r="I6" s="128" t="s">
        <v>118</v>
      </c>
      <c r="J6" s="127" t="s">
        <v>117</v>
      </c>
      <c r="K6" s="129" t="s">
        <v>118</v>
      </c>
    </row>
    <row r="7" spans="2:30" s="135" customFormat="1" ht="18" customHeight="1" x14ac:dyDescent="0.3">
      <c r="B7" s="148" t="str">
        <f>'Data Entry'!A6</f>
        <v xml:space="preserve">1. Population at Risk (age 10 through 16) </v>
      </c>
      <c r="C7" s="104">
        <f>'Data Entry'!C6</f>
        <v>2357</v>
      </c>
      <c r="D7" s="105">
        <f>'Data Entry'!D6</f>
        <v>42</v>
      </c>
      <c r="E7" s="106"/>
      <c r="F7" s="107">
        <f>'Data Entry'!E6</f>
        <v>72</v>
      </c>
      <c r="G7" s="106"/>
      <c r="H7" s="107">
        <f>'Data Entry'!F6</f>
        <v>27</v>
      </c>
      <c r="I7" s="106"/>
      <c r="J7" s="107">
        <f>'Data Entry'!J6</f>
        <v>272</v>
      </c>
      <c r="K7" s="108"/>
    </row>
    <row r="8" spans="2:30" s="1" customFormat="1" ht="15" customHeight="1" x14ac:dyDescent="0.3">
      <c r="B8" s="125" t="s">
        <v>8</v>
      </c>
      <c r="C8" s="104">
        <f>'Data Entry'!C7</f>
        <v>3</v>
      </c>
      <c r="D8" s="105">
        <f>'Data Entry'!D7</f>
        <v>0</v>
      </c>
      <c r="E8" s="106" t="str">
        <f>'Black or African-American'!$G7</f>
        <v>**</v>
      </c>
      <c r="F8" s="107">
        <f>'Data Entry'!E7</f>
        <v>0</v>
      </c>
      <c r="G8" s="106" t="str">
        <f>Hispanic!G7</f>
        <v>**</v>
      </c>
      <c r="H8" s="107">
        <f>'Data Entry'!F7</f>
        <v>0</v>
      </c>
      <c r="I8" s="106" t="str">
        <f>Asian!G7</f>
        <v>**</v>
      </c>
      <c r="J8" s="107">
        <f>'Data Entry'!J7</f>
        <v>0</v>
      </c>
      <c r="K8" s="108" t="str">
        <f>'All Minorities'!G7</f>
        <v>**</v>
      </c>
      <c r="L8"/>
      <c r="N8" s="1">
        <f>'Black or African-American'!L7</f>
        <v>40</v>
      </c>
      <c r="O8" s="1">
        <f>Hispanic!L7</f>
        <v>40</v>
      </c>
      <c r="P8" s="1">
        <f>Asian!L7</f>
        <v>40</v>
      </c>
      <c r="Q8" s="1" t="e">
        <f>Hawaiian!L7</f>
        <v>#VALUE!</v>
      </c>
      <c r="R8" s="1">
        <f>'Am Indian'!L7</f>
        <v>40</v>
      </c>
      <c r="S8" s="1" t="e">
        <f>'Other - Mixed'!L7</f>
        <v>#VALUE!</v>
      </c>
      <c r="T8" s="1">
        <f>'All Minorities'!L7</f>
        <v>40</v>
      </c>
    </row>
    <row r="9" spans="2:30" s="1" customFormat="1" ht="15" customHeight="1" x14ac:dyDescent="0.3">
      <c r="B9" s="125" t="s">
        <v>134</v>
      </c>
      <c r="C9" s="104">
        <f>'Data Entry'!C8</f>
        <v>27</v>
      </c>
      <c r="D9" s="109">
        <f>'Data Entry'!D8</f>
        <v>0</v>
      </c>
      <c r="E9" s="110" t="str">
        <f>'Black or African-American'!$G8</f>
        <v>**</v>
      </c>
      <c r="F9" s="111">
        <f>'Data Entry'!E8</f>
        <v>0</v>
      </c>
      <c r="G9" s="110" t="str">
        <f>Hispanic!G8</f>
        <v>**</v>
      </c>
      <c r="H9" s="111">
        <f>'Data Entry'!F8</f>
        <v>0</v>
      </c>
      <c r="I9" s="110" t="str">
        <f>Asian!G8</f>
        <v>**</v>
      </c>
      <c r="J9" s="111">
        <f>'Data Entry'!J8</f>
        <v>2</v>
      </c>
      <c r="K9" s="112" t="str">
        <f>'All Minorities'!G8</f>
        <v>**</v>
      </c>
      <c r="L9"/>
      <c r="N9" s="1">
        <f>'Black or African-American'!L8</f>
        <v>40</v>
      </c>
      <c r="O9" s="1">
        <f>Hispanic!L8</f>
        <v>40</v>
      </c>
      <c r="P9" s="1">
        <f>Asian!L8</f>
        <v>40</v>
      </c>
      <c r="Q9" s="1">
        <f>Hawaiian!L8</f>
        <v>139</v>
      </c>
      <c r="R9" s="1">
        <f>'Am Indian'!L8</f>
        <v>40</v>
      </c>
      <c r="S9" s="1">
        <f>'Other - Mixed'!L8</f>
        <v>139</v>
      </c>
      <c r="T9" s="1">
        <f>'All Minorities'!L8</f>
        <v>40</v>
      </c>
    </row>
    <row r="10" spans="2:30" s="1" customFormat="1" ht="15" customHeight="1" x14ac:dyDescent="0.3">
      <c r="B10" s="125" t="s">
        <v>10</v>
      </c>
      <c r="C10" s="104">
        <f>'Data Entry'!C9</f>
        <v>1</v>
      </c>
      <c r="D10" s="113">
        <f>'Data Entry'!D9</f>
        <v>0</v>
      </c>
      <c r="E10" s="114" t="str">
        <f>'Black or African-American'!$G9</f>
        <v>--</v>
      </c>
      <c r="F10" s="115">
        <f>'Data Entry'!E9</f>
        <v>0</v>
      </c>
      <c r="G10" s="114" t="str">
        <f>Hispanic!G9</f>
        <v>--</v>
      </c>
      <c r="H10" s="115">
        <f>'Data Entry'!F9</f>
        <v>0</v>
      </c>
      <c r="I10" s="114" t="str">
        <f>Asian!G9</f>
        <v>--</v>
      </c>
      <c r="J10" s="115">
        <f>'Data Entry'!J9</f>
        <v>0</v>
      </c>
      <c r="K10" s="116" t="str">
        <f>'All Minorities'!G9</f>
        <v>**</v>
      </c>
      <c r="L10"/>
      <c r="N10" s="1" t="e">
        <f>'Black or African-American'!L9</f>
        <v>#VALUE!</v>
      </c>
      <c r="O10" s="1" t="e">
        <f>Hispanic!L9</f>
        <v>#VALUE!</v>
      </c>
      <c r="P10" s="1" t="e">
        <f>Asian!L9</f>
        <v>#VALUE!</v>
      </c>
      <c r="Q10" s="1" t="e">
        <f>Hawaiian!L9</f>
        <v>#VALUE!</v>
      </c>
      <c r="R10" s="1">
        <f>'Am Indian'!L9</f>
        <v>40</v>
      </c>
      <c r="S10" s="1">
        <f>'Other - Mixed'!L9</f>
        <v>139</v>
      </c>
      <c r="T10" s="1">
        <f>'All Minorities'!L9</f>
        <v>40</v>
      </c>
    </row>
    <row r="11" spans="2:30" s="1" customFormat="1" ht="15" customHeight="1" x14ac:dyDescent="0.3">
      <c r="B11" s="125" t="s">
        <v>11</v>
      </c>
      <c r="C11" s="104">
        <f>'Data Entry'!C10</f>
        <v>2</v>
      </c>
      <c r="D11" s="109">
        <f>'Data Entry'!D10</f>
        <v>0</v>
      </c>
      <c r="E11" s="110" t="str">
        <f>'Black or African-American'!$G10</f>
        <v>--</v>
      </c>
      <c r="F11" s="111">
        <f>'Data Entry'!E10</f>
        <v>0</v>
      </c>
      <c r="G11" s="110" t="str">
        <f>Hispanic!G10</f>
        <v>--</v>
      </c>
      <c r="H11" s="111">
        <f>'Data Entry'!F10</f>
        <v>0</v>
      </c>
      <c r="I11" s="110" t="str">
        <f>Asian!G10</f>
        <v>--</v>
      </c>
      <c r="J11" s="111">
        <f>'Data Entry'!J10</f>
        <v>0</v>
      </c>
      <c r="K11" s="112" t="str">
        <f>'All Minorities'!G10</f>
        <v>**</v>
      </c>
      <c r="L11"/>
      <c r="N11" s="1" t="e">
        <f>'Black or African-American'!L10</f>
        <v>#VALUE!</v>
      </c>
      <c r="O11" s="1" t="e">
        <f>Hispanic!L10</f>
        <v>#VALUE!</v>
      </c>
      <c r="P11" s="1" t="e">
        <f>Asian!L10</f>
        <v>#VALUE!</v>
      </c>
      <c r="Q11" s="1" t="e">
        <f>Hawaiian!L10</f>
        <v>#VALUE!</v>
      </c>
      <c r="R11" s="1">
        <f>'Am Indian'!L10</f>
        <v>40</v>
      </c>
      <c r="S11" s="1">
        <f>'Other - Mixed'!L10</f>
        <v>139</v>
      </c>
      <c r="T11" s="1">
        <f>'All Minorities'!L10</f>
        <v>40</v>
      </c>
    </row>
    <row r="12" spans="2:30" s="1" customFormat="1" ht="15" customHeight="1" x14ac:dyDescent="0.3">
      <c r="B12" s="125" t="s">
        <v>95</v>
      </c>
      <c r="C12" s="104">
        <f>'Data Entry'!C11</f>
        <v>13</v>
      </c>
      <c r="D12" s="113">
        <f>'Data Entry'!D11</f>
        <v>0</v>
      </c>
      <c r="E12" s="114" t="str">
        <f>'Black or African-American'!$G11</f>
        <v>--</v>
      </c>
      <c r="F12" s="115">
        <f>'Data Entry'!E11</f>
        <v>0</v>
      </c>
      <c r="G12" s="114" t="str">
        <f>Hispanic!G11</f>
        <v>--</v>
      </c>
      <c r="H12" s="115">
        <f>'Data Entry'!F11</f>
        <v>0</v>
      </c>
      <c r="I12" s="114" t="str">
        <f>Asian!G11</f>
        <v>--</v>
      </c>
      <c r="J12" s="115">
        <f>'Data Entry'!J11</f>
        <v>2</v>
      </c>
      <c r="K12" s="116" t="str">
        <f>'All Minorities'!G11</f>
        <v>**</v>
      </c>
      <c r="L12"/>
      <c r="N12" s="1" t="e">
        <f>'Black or African-American'!L11</f>
        <v>#VALUE!</v>
      </c>
      <c r="O12" s="1" t="e">
        <f>Hispanic!L11</f>
        <v>#VALUE!</v>
      </c>
      <c r="P12" s="1" t="e">
        <f>Asian!L11</f>
        <v>#VALUE!</v>
      </c>
      <c r="Q12" s="1" t="e">
        <f>Hawaiian!L11</f>
        <v>#VALUE!</v>
      </c>
      <c r="R12" s="1">
        <f>'Am Indian'!L11</f>
        <v>40</v>
      </c>
      <c r="S12" s="1">
        <f>'Other - Mixed'!L11</f>
        <v>139</v>
      </c>
      <c r="T12" s="1">
        <f>'All Minorities'!L11</f>
        <v>40</v>
      </c>
    </row>
    <row r="13" spans="2:30" s="1" customFormat="1" ht="15" customHeight="1" x14ac:dyDescent="0.3">
      <c r="B13" s="125" t="s">
        <v>13</v>
      </c>
      <c r="C13" s="104">
        <f>'Data Entry'!C12</f>
        <v>12</v>
      </c>
      <c r="D13" s="109">
        <f>'Data Entry'!D12</f>
        <v>0</v>
      </c>
      <c r="E13" s="110" t="str">
        <f>'Black or African-American'!$G12</f>
        <v>--</v>
      </c>
      <c r="F13" s="111">
        <f>'Data Entry'!E12</f>
        <v>0</v>
      </c>
      <c r="G13" s="110" t="str">
        <f>Hispanic!G12</f>
        <v>--</v>
      </c>
      <c r="H13" s="111">
        <f>'Data Entry'!F12</f>
        <v>0</v>
      </c>
      <c r="I13" s="110" t="str">
        <f>Asian!G12</f>
        <v>--</v>
      </c>
      <c r="J13" s="111">
        <f>'Data Entry'!J12</f>
        <v>2</v>
      </c>
      <c r="K13" s="112" t="str">
        <f>'All Minorities'!G12</f>
        <v>**</v>
      </c>
      <c r="L13"/>
      <c r="N13" s="1" t="e">
        <f>'Black or African-American'!L12</f>
        <v>#VALUE!</v>
      </c>
      <c r="O13" s="1" t="e">
        <f>Hispanic!L12</f>
        <v>#VALUE!</v>
      </c>
      <c r="P13" s="1" t="e">
        <f>Asian!L12</f>
        <v>#VALUE!</v>
      </c>
      <c r="Q13" s="1" t="e">
        <f>Hawaiian!L12</f>
        <v>#VALUE!</v>
      </c>
      <c r="R13" s="1">
        <f>'Am Indian'!L12</f>
        <v>40</v>
      </c>
      <c r="S13" s="1">
        <f>'Other - Mixed'!L12</f>
        <v>139</v>
      </c>
      <c r="T13" s="1">
        <f>'All Minorities'!L12</f>
        <v>40</v>
      </c>
      <c r="W13" s="135"/>
      <c r="X13" s="135"/>
      <c r="Y13" s="135"/>
      <c r="Z13" s="135"/>
      <c r="AA13" s="135"/>
      <c r="AB13" s="135"/>
      <c r="AC13" s="135"/>
      <c r="AD13" s="135"/>
    </row>
    <row r="14" spans="2:30" s="1" customFormat="1" ht="15" customHeight="1" x14ac:dyDescent="0.3">
      <c r="B14" s="125" t="s">
        <v>14</v>
      </c>
      <c r="C14" s="104">
        <f>'Data Entry'!C13</f>
        <v>23</v>
      </c>
      <c r="D14" s="113">
        <f>'Data Entry'!D13</f>
        <v>0</v>
      </c>
      <c r="E14" s="114" t="str">
        <f>'Black or African-American'!$G13</f>
        <v>--</v>
      </c>
      <c r="F14" s="115">
        <f>'Data Entry'!E13</f>
        <v>0</v>
      </c>
      <c r="G14" s="114" t="str">
        <f>Hispanic!G13</f>
        <v>--</v>
      </c>
      <c r="H14" s="115">
        <f>'Data Entry'!F13</f>
        <v>0</v>
      </c>
      <c r="I14" s="114" t="str">
        <f>Asian!G13</f>
        <v>--</v>
      </c>
      <c r="J14" s="115">
        <f>'Data Entry'!J13</f>
        <v>2</v>
      </c>
      <c r="K14" s="116" t="str">
        <f>'All Minorities'!G13</f>
        <v>**</v>
      </c>
      <c r="L14"/>
      <c r="N14" s="1" t="e">
        <f>'Black or African-American'!L13</f>
        <v>#VALUE!</v>
      </c>
      <c r="O14" s="1" t="e">
        <f>Hispanic!L13</f>
        <v>#VALUE!</v>
      </c>
      <c r="P14" s="1" t="e">
        <f>Asian!L13</f>
        <v>#VALUE!</v>
      </c>
      <c r="Q14" s="1" t="e">
        <f>Hawaiian!L13</f>
        <v>#VALUE!</v>
      </c>
      <c r="R14" s="1">
        <f>'Am Indian'!L13</f>
        <v>40</v>
      </c>
      <c r="S14" s="1">
        <f>'Other - Mixed'!L13</f>
        <v>139</v>
      </c>
      <c r="T14" s="1">
        <f>'All Minorities'!L13</f>
        <v>40</v>
      </c>
      <c r="W14" s="135"/>
      <c r="X14" s="135"/>
      <c r="Y14" s="135"/>
      <c r="Z14" s="135"/>
      <c r="AA14" s="135"/>
      <c r="AB14" s="135"/>
      <c r="AC14" s="135"/>
      <c r="AD14" s="135"/>
    </row>
    <row r="15" spans="2:30" s="1" customFormat="1" ht="33" x14ac:dyDescent="0.3">
      <c r="B15" s="130" t="s">
        <v>123</v>
      </c>
      <c r="C15" s="104">
        <f>'Data Entry'!C14</f>
        <v>4</v>
      </c>
      <c r="D15" s="109">
        <f>'Data Entry'!D14</f>
        <v>0</v>
      </c>
      <c r="E15" s="110" t="str">
        <f>'Black or African-American'!$G14</f>
        <v>--</v>
      </c>
      <c r="F15" s="111">
        <f>'Data Entry'!E14</f>
        <v>0</v>
      </c>
      <c r="G15" s="110" t="str">
        <f>Hispanic!G14</f>
        <v>--</v>
      </c>
      <c r="H15" s="111">
        <f>'Data Entry'!F14</f>
        <v>0</v>
      </c>
      <c r="I15" s="110" t="str">
        <f>Asian!G14</f>
        <v>--</v>
      </c>
      <c r="J15" s="111">
        <f>'Data Entry'!J14</f>
        <v>1</v>
      </c>
      <c r="K15" s="112" t="str">
        <f>'All Minorities'!G14</f>
        <v>**</v>
      </c>
      <c r="L15"/>
      <c r="N15" s="1" t="e">
        <f>'Black or African-American'!L14</f>
        <v>#VALUE!</v>
      </c>
      <c r="O15" s="1" t="e">
        <f>Hispanic!L14</f>
        <v>#VALUE!</v>
      </c>
      <c r="P15" s="1" t="e">
        <f>Asian!L14</f>
        <v>#VALUE!</v>
      </c>
      <c r="Q15" s="1" t="e">
        <f>Hawaiian!L14</f>
        <v>#VALUE!</v>
      </c>
      <c r="R15" s="1">
        <f>'Am Indian'!L14</f>
        <v>40</v>
      </c>
      <c r="S15" s="1">
        <f>'Other - Mixed'!L14</f>
        <v>139</v>
      </c>
      <c r="T15" s="1">
        <f>'All Minorities'!L14</f>
        <v>40</v>
      </c>
      <c r="W15" s="135"/>
      <c r="X15" s="135"/>
      <c r="Y15" s="135"/>
      <c r="Z15" s="135"/>
      <c r="AA15" s="135"/>
      <c r="AB15" s="135"/>
      <c r="AC15" s="135"/>
      <c r="AD15" s="135"/>
    </row>
    <row r="16" spans="2:30" s="1" customFormat="1" ht="15" customHeight="1" x14ac:dyDescent="0.3">
      <c r="B16" s="125" t="s">
        <v>16</v>
      </c>
      <c r="C16" s="104">
        <f>'Data Entry'!C15</f>
        <v>0</v>
      </c>
      <c r="D16" s="117">
        <f>'Data Entry'!D15</f>
        <v>0</v>
      </c>
      <c r="E16" s="118" t="str">
        <f>'Black or African-American'!$G15</f>
        <v>--</v>
      </c>
      <c r="F16" s="119">
        <f>'Data Entry'!E15</f>
        <v>0</v>
      </c>
      <c r="G16" s="118" t="str">
        <f>Hispanic!G15</f>
        <v>--</v>
      </c>
      <c r="H16" s="119">
        <f>'Data Entry'!F15</f>
        <v>0</v>
      </c>
      <c r="I16" s="118" t="str">
        <f>Asian!G15</f>
        <v>--</v>
      </c>
      <c r="J16" s="119">
        <f>'Data Entry'!J15</f>
        <v>0</v>
      </c>
      <c r="K16" s="120" t="str">
        <f>'All Minorities'!G15</f>
        <v>--</v>
      </c>
      <c r="L16"/>
      <c r="N16" s="1" t="e">
        <f>'Black or African-American'!L15</f>
        <v>#VALUE!</v>
      </c>
      <c r="O16" s="1" t="e">
        <f>Hispanic!L15</f>
        <v>#VALUE!</v>
      </c>
      <c r="P16" s="1" t="e">
        <f>Asian!L15</f>
        <v>#VALUE!</v>
      </c>
      <c r="Q16" s="1" t="e">
        <f>Hawaiian!L15</f>
        <v>#VALUE!</v>
      </c>
      <c r="R16" s="1" t="e">
        <f>'Am Indian'!L15</f>
        <v>#VALUE!</v>
      </c>
      <c r="S16" s="1" t="e">
        <f>'Other - Mixed'!L15</f>
        <v>#VALUE!</v>
      </c>
      <c r="T16" s="1" t="e">
        <f>'All Minorities'!L15</f>
        <v>#VALUE!</v>
      </c>
      <c r="W16" s="135"/>
      <c r="X16" s="135"/>
      <c r="Y16" s="135"/>
      <c r="Z16" s="135"/>
      <c r="AA16" s="135"/>
      <c r="AB16" s="135"/>
      <c r="AC16" s="135"/>
      <c r="AD16" s="135"/>
    </row>
    <row r="17" spans="2:30" s="1" customFormat="1" ht="15" customHeight="1" thickBot="1" x14ac:dyDescent="0.4">
      <c r="B17" s="131" t="s">
        <v>96</v>
      </c>
      <c r="C17" s="99" t="str">
        <f>'Data Entry'!C16</f>
        <v>Yes</v>
      </c>
      <c r="D17" s="133"/>
      <c r="E17" s="145" t="str">
        <f>'Data Entry'!$D$16</f>
        <v>Yes</v>
      </c>
      <c r="F17" s="133"/>
      <c r="G17" s="145" t="str">
        <f>'Data Entry'!$E$16</f>
        <v>Yes</v>
      </c>
      <c r="H17" s="133"/>
      <c r="I17" s="145" t="str">
        <f>'Data Entry'!F16</f>
        <v>Yes</v>
      </c>
      <c r="J17" s="133"/>
      <c r="K17" s="144" t="str">
        <f>'Data Entry'!J16</f>
        <v>Yes</v>
      </c>
      <c r="L17"/>
      <c r="W17" s="135"/>
      <c r="X17" s="135"/>
      <c r="Y17" s="135"/>
      <c r="Z17" s="135"/>
      <c r="AA17" s="135"/>
      <c r="AB17" s="135"/>
      <c r="AC17" s="135"/>
      <c r="AD17" s="135"/>
    </row>
    <row r="18" spans="2:30" ht="15" customHeight="1" thickTop="1" thickBot="1" x14ac:dyDescent="0.35">
      <c r="B18" s="94"/>
      <c r="C18" s="94"/>
      <c r="D18" s="94"/>
      <c r="E18" s="94"/>
      <c r="F18" s="94"/>
      <c r="G18" s="94"/>
      <c r="H18" s="94"/>
      <c r="I18" s="94"/>
      <c r="J18" s="94"/>
      <c r="K18" s="94"/>
      <c r="W18" s="135"/>
      <c r="X18" s="135"/>
      <c r="Y18" s="135"/>
      <c r="Z18" s="135"/>
      <c r="AA18" s="135"/>
      <c r="AB18" s="135"/>
      <c r="AC18" s="135"/>
      <c r="AD18" s="135"/>
    </row>
    <row r="19" spans="2:30" ht="18" customHeight="1" thickBot="1" x14ac:dyDescent="0.4">
      <c r="B19" s="207" t="s">
        <v>120</v>
      </c>
      <c r="C19" s="208"/>
      <c r="D19" s="208"/>
      <c r="E19" s="208"/>
      <c r="F19" s="208"/>
      <c r="G19" s="208"/>
      <c r="H19" s="208"/>
      <c r="I19" s="209"/>
      <c r="J19" s="210"/>
      <c r="K19" s="211"/>
    </row>
    <row r="20" spans="2:30" ht="15.75" x14ac:dyDescent="0.3">
      <c r="B20" s="160" t="s">
        <v>125</v>
      </c>
      <c r="C20" s="215" t="s">
        <v>53</v>
      </c>
      <c r="D20" s="216"/>
      <c r="E20" s="199" t="s">
        <v>56</v>
      </c>
      <c r="F20" s="200"/>
      <c r="G20" s="200"/>
      <c r="H20" s="200"/>
      <c r="I20" s="200"/>
      <c r="J20" s="200"/>
      <c r="K20" s="161" t="s">
        <v>57</v>
      </c>
    </row>
    <row r="21" spans="2:30" ht="15" customHeight="1" x14ac:dyDescent="0.3">
      <c r="B21" s="162" t="s">
        <v>126</v>
      </c>
      <c r="C21" s="201" t="s">
        <v>55</v>
      </c>
      <c r="D21" s="202"/>
      <c r="E21" s="203" t="s">
        <v>58</v>
      </c>
      <c r="F21" s="204"/>
      <c r="G21" s="204"/>
      <c r="H21" s="204"/>
      <c r="I21" s="204"/>
      <c r="J21" s="204"/>
      <c r="K21" s="163" t="s">
        <v>59</v>
      </c>
    </row>
    <row r="22" spans="2:30" ht="15" customHeight="1" thickBot="1" x14ac:dyDescent="0.35">
      <c r="B22" s="212"/>
      <c r="C22" s="213"/>
      <c r="D22" s="214"/>
      <c r="E22" s="205" t="s">
        <v>60</v>
      </c>
      <c r="F22" s="206"/>
      <c r="G22" s="206"/>
      <c r="H22" s="206"/>
      <c r="I22" s="206"/>
      <c r="J22" s="206"/>
      <c r="K22" s="164" t="s">
        <v>61</v>
      </c>
    </row>
    <row r="23" spans="2:30" ht="15" customHeight="1" x14ac:dyDescent="0.3">
      <c r="B23" s="94"/>
      <c r="C23" s="94"/>
      <c r="D23" s="94"/>
      <c r="E23"/>
      <c r="F23"/>
      <c r="G23"/>
      <c r="H23"/>
      <c r="J23"/>
      <c r="K23"/>
    </row>
    <row r="24" spans="2:30" ht="15" customHeight="1" x14ac:dyDescent="0.3">
      <c r="B24" s="94"/>
      <c r="C24" s="94"/>
      <c r="D24" s="94"/>
      <c r="E24"/>
      <c r="F24"/>
      <c r="G24"/>
      <c r="H24"/>
      <c r="J24"/>
      <c r="K24"/>
    </row>
    <row r="25" spans="2:30" ht="15" customHeight="1" x14ac:dyDescent="0.25">
      <c r="B25" s="1" t="str">
        <f>'Data Entry'!A18</f>
        <v>5. DATA SOURCES &amp; NOTES</v>
      </c>
    </row>
    <row r="26" spans="2:30" ht="15" customHeight="1" x14ac:dyDescent="0.25">
      <c r="B26" s="1" t="str">
        <f>'Data Entry'!A19</f>
        <v>Item 1. Population: U.S. Census estimate (from C. Puzzanchera, A. Sladky, and W. Kang, "Easy Access to Juvenile Populations: 1990-2020," Online, accessed October 13, 2021 from http://www.ojjdp.gov/ojstatbb/ezapop/)</v>
      </c>
      <c r="E26" s="1" t="str">
        <f>'Data Entry'!D19</f>
        <v>Item 2. Arrest: Michigan State Police</v>
      </c>
      <c r="I26" s="97"/>
    </row>
    <row r="27" spans="2:30" ht="12.75" customHeight="1" x14ac:dyDescent="0.25">
      <c r="B27" s="1" t="str">
        <f>'Data Entry'!A20</f>
        <v>Item 3.Referral: State Court Administrative Office</v>
      </c>
      <c r="E27" s="1" t="str">
        <f>'Data Entry'!D20</f>
        <v>Item 4.Diversion: State Court Administrative Office</v>
      </c>
      <c r="I27" s="97"/>
    </row>
    <row r="28" spans="2:30" ht="12.75" customHeight="1" x14ac:dyDescent="0.25">
      <c r="B28" s="1" t="str">
        <f>'Data Entry'!A21</f>
        <v>Item 5.Detention: State Court Administrative Office</v>
      </c>
      <c r="E28" s="1" t="str">
        <f>'Data Entry'!D21</f>
        <v>Item 6.Petitioned: State Court Administrative Office</v>
      </c>
      <c r="I28" s="97"/>
    </row>
    <row r="29" spans="2:30" ht="12.75" customHeight="1" x14ac:dyDescent="0.25">
      <c r="B29" s="1" t="str">
        <f>'Data Entry'!A22</f>
        <v>Item 7.Delinquent: State Court Administrative Office</v>
      </c>
      <c r="E29" s="1" t="str">
        <f>'Data Entry'!D22</f>
        <v>Item 8.Probation: State Court Administrative Office</v>
      </c>
      <c r="I29" s="97"/>
    </row>
    <row r="30" spans="2:30" ht="12.75" customHeight="1" x14ac:dyDescent="0.25">
      <c r="B30" s="1" t="str">
        <f>'Data Entry'!A23</f>
        <v>Item 9.Confinement: State Court Administrative Office</v>
      </c>
      <c r="E30" s="1" t="str">
        <f>'Data Entry'!D23</f>
        <v>Item 10.Transferred: State Court Administrative Office</v>
      </c>
      <c r="I30" s="97"/>
    </row>
  </sheetData>
  <sheetProtection password="C722" objects="1"/>
  <mergeCells count="14">
    <mergeCell ref="E20:J20"/>
    <mergeCell ref="C21:D21"/>
    <mergeCell ref="E21:J21"/>
    <mergeCell ref="E22:J22"/>
    <mergeCell ref="B19:K19"/>
    <mergeCell ref="B22:D22"/>
    <mergeCell ref="C20:D20"/>
    <mergeCell ref="B2:K2"/>
    <mergeCell ref="D5:E5"/>
    <mergeCell ref="F5:G5"/>
    <mergeCell ref="H5:I5"/>
    <mergeCell ref="J5:K5"/>
    <mergeCell ref="H3:K3"/>
    <mergeCell ref="H4:K4"/>
  </mergeCells>
  <conditionalFormatting sqref="G8:G16">
    <cfRule type="expression" dxfId="100" priority="6" stopIfTrue="1">
      <formula>$O8=1</formula>
    </cfRule>
  </conditionalFormatting>
  <conditionalFormatting sqref="I8:I16">
    <cfRule type="expression" dxfId="99" priority="7" stopIfTrue="1">
      <formula>$P8=1</formula>
    </cfRule>
  </conditionalFormatting>
  <conditionalFormatting sqref="K8:K16">
    <cfRule type="expression" dxfId="98" priority="10" stopIfTrue="1">
      <formula>$T8=1</formula>
    </cfRule>
  </conditionalFormatting>
  <conditionalFormatting sqref="E8:E16">
    <cfRule type="expression" dxfId="97" priority="11" stopIfTrue="1">
      <formula>N8=1</formula>
    </cfRule>
  </conditionalFormatting>
  <conditionalFormatting sqref="G7">
    <cfRule type="expression" dxfId="96" priority="1" stopIfTrue="1">
      <formula>$O7=1</formula>
    </cfRule>
  </conditionalFormatting>
  <conditionalFormatting sqref="I7">
    <cfRule type="expression" dxfId="95" priority="2" stopIfTrue="1">
      <formula>$P7=1</formula>
    </cfRule>
  </conditionalFormatting>
  <conditionalFormatting sqref="K7">
    <cfRule type="expression" dxfId="94" priority="3" stopIfTrue="1">
      <formula>$T7=1</formula>
    </cfRule>
  </conditionalFormatting>
  <conditionalFormatting sqref="E7">
    <cfRule type="expression" dxfId="93" priority="4" stopIfTrue="1">
      <formula>N7=1</formula>
    </cfRule>
  </conditionalFormatting>
  <pageMargins left="1.1100000000000001" right="0.77" top="1.26" bottom="1" header="0.5" footer="0.5"/>
  <pageSetup scale="110"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autoPageBreaks="0"/>
  </sheetPr>
  <dimension ref="A1:V90"/>
  <sheetViews>
    <sheetView showGridLines="0" showRowColHeaders="0" zoomScale="95" zoomScaleNormal="95" workbookViewId="0">
      <selection activeCell="Y8" sqref="Y8"/>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9.140625"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9.140625" style="1" customWidth="1"/>
  </cols>
  <sheetData>
    <row r="1" spans="2:21" ht="27.75" customHeight="1" x14ac:dyDescent="0.25">
      <c r="B1" s="16" t="s">
        <v>29</v>
      </c>
      <c r="D1" s="20" t="s">
        <v>30</v>
      </c>
      <c r="E1" s="14"/>
      <c r="F1" s="219" t="str">
        <f>'Data Entry'!D5</f>
        <v>Black or African American</v>
      </c>
      <c r="G1" s="219"/>
      <c r="H1" s="219"/>
      <c r="I1" s="219"/>
      <c r="J1" s="219"/>
      <c r="K1" s="8"/>
      <c r="N1" s="21"/>
      <c r="O1" s="21"/>
      <c r="P1" s="21"/>
      <c r="Q1" s="21"/>
      <c r="R1" s="21"/>
    </row>
    <row r="2" spans="2:21" ht="15" customHeight="1" x14ac:dyDescent="0.25">
      <c r="B2" s="16" t="str">
        <f>'Data Entry'!A2</f>
        <v>State: Michigan</v>
      </c>
      <c r="C2" s="4"/>
      <c r="D2" s="4"/>
      <c r="E2" s="4"/>
      <c r="F2" s="4"/>
      <c r="N2" s="21"/>
      <c r="O2" s="21"/>
      <c r="P2" s="21"/>
      <c r="Q2" s="21"/>
      <c r="R2" s="21"/>
    </row>
    <row r="3" spans="2:21" ht="15" customHeight="1" x14ac:dyDescent="0.25">
      <c r="B3" s="16" t="str">
        <f>'Data Entry'!A3</f>
        <v>County: Emmet</v>
      </c>
      <c r="C3" s="22"/>
      <c r="D3" s="22"/>
      <c r="E3" s="22"/>
      <c r="F3" s="22"/>
      <c r="G3" s="7"/>
      <c r="H3" s="7"/>
      <c r="I3" s="7"/>
      <c r="J3" s="7"/>
      <c r="K3" s="7"/>
      <c r="N3" s="218" t="s">
        <v>31</v>
      </c>
      <c r="O3" s="218"/>
      <c r="P3" s="218"/>
      <c r="Q3" s="218"/>
      <c r="R3" s="218"/>
      <c r="S3" s="218"/>
      <c r="T3" s="218"/>
      <c r="U3" s="218"/>
    </row>
    <row r="4" spans="2:21" ht="8.2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2357</v>
      </c>
      <c r="D6" s="34"/>
      <c r="E6" s="33">
        <f>'Data Entry'!D6</f>
        <v>42</v>
      </c>
      <c r="F6" s="34"/>
      <c r="G6" s="35"/>
      <c r="H6" s="36"/>
      <c r="I6" s="37"/>
      <c r="J6" s="38"/>
      <c r="K6" s="37"/>
      <c r="L6" s="1">
        <f>IF( ('Data Entry'!D6&gt;('Data Entry'!B6/100)),1,100)</f>
        <v>1</v>
      </c>
      <c r="M6" s="1" t="s">
        <v>50</v>
      </c>
      <c r="N6" s="21"/>
      <c r="O6" s="21"/>
      <c r="P6" s="21"/>
      <c r="Q6" s="21"/>
      <c r="R6" s="21"/>
      <c r="S6" s="30"/>
      <c r="T6" s="30"/>
      <c r="U6" s="31"/>
    </row>
    <row r="7" spans="2:21" ht="18" customHeight="1" x14ac:dyDescent="0.25">
      <c r="B7" s="32" t="str">
        <f>'Data Entry'!A7</f>
        <v xml:space="preserve">2. Juvenile Arrests </v>
      </c>
      <c r="C7" s="33">
        <f>'Data Entry'!C7</f>
        <v>3</v>
      </c>
      <c r="D7" s="34">
        <f>IF((AND(C66&gt;0,C7&gt;0)),(C7/C66),0)</f>
        <v>1.2728044123886295</v>
      </c>
      <c r="E7" s="33">
        <f>'Data Entry'!D7</f>
        <v>0</v>
      </c>
      <c r="F7" s="34">
        <f>IF((AND($E$7&gt;0,$D$66&gt;0)),($E$7/$D$66),0)</f>
        <v>0</v>
      </c>
      <c r="G7" s="39" t="str">
        <f>IF(L$6=100,"*",IF(M7=FALSE,"--",IF(K7=20,"**",($F7/$D7))))</f>
        <v>**</v>
      </c>
      <c r="H7" s="40"/>
      <c r="I7" s="41"/>
      <c r="J7" s="40">
        <f>IF((ABS($U7)&gt;Defaults!D$7),1,2)</f>
        <v>2</v>
      </c>
      <c r="K7" s="39">
        <f>IF((AND(N7&gt;Defaults!B$12,(N7+O7)&gt;Defaults!B$13, P7 &gt; Defaults!B$12, (P7+Q7) &gt; Defaults!B$13)),1,20)</f>
        <v>20</v>
      </c>
      <c r="L7" s="1">
        <f>(J7*K7+L$6)-1</f>
        <v>40</v>
      </c>
      <c r="M7" s="1" t="b">
        <f t="shared" ref="M7:M15" si="0">(ISNUMBER(J7))</f>
        <v>1</v>
      </c>
      <c r="N7" s="42">
        <f t="shared" ref="N7:N15" si="1">E7</f>
        <v>0</v>
      </c>
      <c r="O7" s="42">
        <f>E6-E7</f>
        <v>42</v>
      </c>
      <c r="P7" s="42">
        <f t="shared" ref="P7:P15" si="2">C7</f>
        <v>3</v>
      </c>
      <c r="Q7" s="42">
        <f>C6-C7</f>
        <v>2354</v>
      </c>
      <c r="R7" s="42">
        <f t="shared" ref="R7:R15" si="3">SUM(N7:Q7)</f>
        <v>2399</v>
      </c>
      <c r="S7" s="30">
        <f t="shared" ref="S7:S15" si="4">R7*((((N7*Q7)-(O7*P7))^2))</f>
        <v>38086524</v>
      </c>
      <c r="T7" s="30">
        <f t="shared" ref="T7:T15" si="5">(N7+O7)*(P7+Q7)*(N7+P7)*(O7+Q7)</f>
        <v>711568872</v>
      </c>
      <c r="U7" s="31">
        <f t="shared" ref="U7:U15" si="6">IF((S7&gt;0),S7/T7,"- -")</f>
        <v>5.3524719108286122E-2</v>
      </c>
    </row>
    <row r="8" spans="2:21" ht="18" customHeight="1" x14ac:dyDescent="0.25">
      <c r="B8" s="32" t="str">
        <f>'Data Entry'!A8</f>
        <v>3. Refer to Juvenile Court</v>
      </c>
      <c r="C8" s="33">
        <f>'Data Entry'!C8</f>
        <v>27</v>
      </c>
      <c r="D8" s="34">
        <f>IF((AND(C67&gt;0,C8&gt;0)),(C8/C67),0)</f>
        <v>900</v>
      </c>
      <c r="E8" s="33">
        <f>'Data Entry'!D8</f>
        <v>0</v>
      </c>
      <c r="F8" s="34">
        <f>IF((AND($E$8&gt;0,$D$67&gt;0)),($E8/$D67),0)</f>
        <v>0</v>
      </c>
      <c r="G8" s="39" t="str">
        <f t="shared" ref="G8:G15" si="7">IF(L$6=100,"*",IF(M8=FALSE,"--",IF(K8=20,"**",($F8/$D8))))</f>
        <v>**</v>
      </c>
      <c r="H8" s="40"/>
      <c r="I8" s="41"/>
      <c r="J8" s="40">
        <f>IF((ABS($U8)&gt;Defaults!D$7),1,2)</f>
        <v>2</v>
      </c>
      <c r="K8" s="39">
        <f>IF((AND(N8&gt;Defaults!B$12,(N8+O8)&gt;Defaults!B$13, P8 &gt; Defaults!B$12, (P8+Q8) &gt; Defaults!B$13)),1,20)</f>
        <v>20</v>
      </c>
      <c r="L8" s="1">
        <f t="shared" ref="L8:L15" si="8">(J8*K8+L$6)-1</f>
        <v>40</v>
      </c>
      <c r="M8" s="1" t="b">
        <f t="shared" si="0"/>
        <v>1</v>
      </c>
      <c r="N8" s="42">
        <f t="shared" si="1"/>
        <v>0</v>
      </c>
      <c r="O8" s="42">
        <f>((D67*L67)-E8)+0.05</f>
        <v>0.05</v>
      </c>
      <c r="P8" s="42">
        <f t="shared" si="2"/>
        <v>27</v>
      </c>
      <c r="Q8" s="42">
        <f>(C$67*L67)-C8</f>
        <v>-24</v>
      </c>
      <c r="R8" s="42">
        <f t="shared" si="3"/>
        <v>3.0500000000000007</v>
      </c>
      <c r="S8" s="30">
        <f t="shared" si="4"/>
        <v>5.5586250000000019</v>
      </c>
      <c r="T8" s="30">
        <f t="shared" si="5"/>
        <v>-96.997500000000016</v>
      </c>
      <c r="U8" s="31">
        <f t="shared" si="6"/>
        <v>-5.7306889352818378E-2</v>
      </c>
    </row>
    <row r="9" spans="2:21" ht="18" customHeight="1" x14ac:dyDescent="0.25">
      <c r="B9" s="32" t="str">
        <f>'Data Entry'!A9</f>
        <v xml:space="preserve">4. Cases Diverted </v>
      </c>
      <c r="C9" s="33">
        <f>'Data Entry'!C9</f>
        <v>1</v>
      </c>
      <c r="D9" s="34">
        <f>IF((AND(C68&gt;0,C9&gt;0)),((C9/C68)),0)</f>
        <v>3.7037037037037033</v>
      </c>
      <c r="E9" s="33">
        <f>'Data Entry'!D9</f>
        <v>0</v>
      </c>
      <c r="F9" s="34">
        <f>IF((AND($E$9&gt;0,$D$68&gt;0)),(($E$9/$D$68)),0)</f>
        <v>0</v>
      </c>
      <c r="G9" s="39" t="str">
        <f t="shared" si="7"/>
        <v>--</v>
      </c>
      <c r="H9" s="40"/>
      <c r="I9" s="41"/>
      <c r="J9" s="40" t="e">
        <f>IF((ABS($U9)&gt;Defaults!D$7),1,2)</f>
        <v>#VALUE!</v>
      </c>
      <c r="K9" s="39">
        <f>IF((AND(N9&gt;Defaults!B$12,(N9+O9)&gt;Defaults!B$13, P9 &gt; Defaults!B$12, (P9+Q9) &gt; Defaults!B$13)),1,20)</f>
        <v>20</v>
      </c>
      <c r="L9" s="1" t="e">
        <f t="shared" si="8"/>
        <v>#VALUE!</v>
      </c>
      <c r="M9" s="1" t="b">
        <f t="shared" si="0"/>
        <v>0</v>
      </c>
      <c r="N9" s="42">
        <f t="shared" si="1"/>
        <v>0</v>
      </c>
      <c r="O9" s="42">
        <f>(D$68*L68)-E9</f>
        <v>0</v>
      </c>
      <c r="P9" s="42">
        <f t="shared" si="2"/>
        <v>1</v>
      </c>
      <c r="Q9" s="42">
        <f>(C$68*L68)-C9</f>
        <v>26</v>
      </c>
      <c r="R9" s="42">
        <f t="shared" si="3"/>
        <v>27</v>
      </c>
      <c r="S9" s="30">
        <f t="shared" si="4"/>
        <v>0</v>
      </c>
      <c r="T9" s="30">
        <f t="shared" si="5"/>
        <v>0</v>
      </c>
      <c r="U9" s="31" t="str">
        <f t="shared" si="6"/>
        <v>- -</v>
      </c>
    </row>
    <row r="10" spans="2:21" ht="18" customHeight="1" x14ac:dyDescent="0.25">
      <c r="B10" s="32" t="str">
        <f>'Data Entry'!A10</f>
        <v>5. Cases Involving Secure Detention</v>
      </c>
      <c r="C10" s="33">
        <f>'Data Entry'!C10</f>
        <v>2</v>
      </c>
      <c r="D10" s="34">
        <f>IF(((AND(C68&gt;0,C10&gt;0))),(C10/(C68)),0)</f>
        <v>7.4074074074074066</v>
      </c>
      <c r="E10" s="33">
        <f>'Data Entry'!D10</f>
        <v>0</v>
      </c>
      <c r="F10" s="34">
        <f>IF(((AND($E$10&gt;0,$D$68&gt;0))),($E$10/($D$68)),0)</f>
        <v>0</v>
      </c>
      <c r="G10" s="39" t="str">
        <f t="shared" si="7"/>
        <v>--</v>
      </c>
      <c r="H10" s="40"/>
      <c r="I10" s="41"/>
      <c r="J10" s="40" t="e">
        <f>IF((ABS($U10)&gt;Defaults!D$7),1,2)</f>
        <v>#VALUE!</v>
      </c>
      <c r="K10" s="39">
        <f>IF((AND(N10&gt;Defaults!B$12,(N10+O10)&gt;Defaults!B$13, P10 &gt; Defaults!B$12, (P10+Q10) &gt; Defaults!B$13)),1,20)</f>
        <v>20</v>
      </c>
      <c r="L10" s="1" t="e">
        <f t="shared" si="8"/>
        <v>#VALUE!</v>
      </c>
      <c r="M10" s="1" t="b">
        <f t="shared" si="0"/>
        <v>0</v>
      </c>
      <c r="N10" s="42">
        <f t="shared" si="1"/>
        <v>0</v>
      </c>
      <c r="O10" s="42">
        <f>(D$68*L68)-E10</f>
        <v>0</v>
      </c>
      <c r="P10" s="42">
        <f t="shared" si="2"/>
        <v>2</v>
      </c>
      <c r="Q10" s="42">
        <f>(C$68*L68)-C10</f>
        <v>25</v>
      </c>
      <c r="R10" s="42">
        <f t="shared" si="3"/>
        <v>27</v>
      </c>
      <c r="S10" s="30">
        <f t="shared" si="4"/>
        <v>0</v>
      </c>
      <c r="T10" s="30">
        <f t="shared" si="5"/>
        <v>0</v>
      </c>
      <c r="U10" s="31" t="str">
        <f t="shared" si="6"/>
        <v>- -</v>
      </c>
    </row>
    <row r="11" spans="2:21" ht="18" customHeight="1" x14ac:dyDescent="0.25">
      <c r="B11" s="32" t="str">
        <f>'Data Entry'!A11</f>
        <v>6. Cases Petitioned (Charge Filed)</v>
      </c>
      <c r="C11" s="33">
        <f>'Data Entry'!C11</f>
        <v>13</v>
      </c>
      <c r="D11" s="34">
        <f>IF(((AND(C68&gt;0,C11&gt;0))),(C11/(C68)),0)</f>
        <v>48.148148148148145</v>
      </c>
      <c r="E11" s="33">
        <f>'Data Entry'!D11</f>
        <v>0</v>
      </c>
      <c r="F11" s="34">
        <f>IF(((AND($E$11&gt;0,$D$68&gt;0))),($E$11/($D$68)),0)</f>
        <v>0</v>
      </c>
      <c r="G11" s="39" t="str">
        <f t="shared" si="7"/>
        <v>--</v>
      </c>
      <c r="H11" s="40"/>
      <c r="I11" s="41"/>
      <c r="J11" s="40" t="e">
        <f>IF((ABS($U11)&gt;Defaults!D$7),1,2)</f>
        <v>#VALUE!</v>
      </c>
      <c r="K11" s="39">
        <f>IF((AND(N11&gt;Defaults!B$12,(N11+O11)&gt;Defaults!B$13, P11 &gt; Defaults!B$12, (P11+Q11) &gt; Defaults!B$13)),1,20)</f>
        <v>20</v>
      </c>
      <c r="L11" s="1" t="e">
        <f t="shared" si="8"/>
        <v>#VALUE!</v>
      </c>
      <c r="M11" s="1" t="b">
        <f t="shared" si="0"/>
        <v>0</v>
      </c>
      <c r="N11" s="42">
        <f t="shared" si="1"/>
        <v>0</v>
      </c>
      <c r="O11" s="42">
        <f>(D$68*L68)-E11</f>
        <v>0</v>
      </c>
      <c r="P11" s="42">
        <f t="shared" si="2"/>
        <v>13</v>
      </c>
      <c r="Q11" s="42">
        <f>(C$68*L68)-C11</f>
        <v>14</v>
      </c>
      <c r="R11" s="42">
        <f t="shared" si="3"/>
        <v>27</v>
      </c>
      <c r="S11" s="30">
        <f t="shared" si="4"/>
        <v>0</v>
      </c>
      <c r="T11" s="30">
        <f t="shared" si="5"/>
        <v>0</v>
      </c>
      <c r="U11" s="31" t="str">
        <f t="shared" si="6"/>
        <v>- -</v>
      </c>
    </row>
    <row r="12" spans="2:21" ht="18" customHeight="1" x14ac:dyDescent="0.25">
      <c r="B12" s="32" t="str">
        <f>'Data Entry'!A12</f>
        <v>7. Cases Resulting in Delinquent Findings</v>
      </c>
      <c r="C12" s="33">
        <f>'Data Entry'!C12</f>
        <v>12</v>
      </c>
      <c r="D12" s="34">
        <f>IF(((AND(C69&gt;0,C12&gt;0))),(C12/(C69)),0)</f>
        <v>92.307692307692307</v>
      </c>
      <c r="E12" s="33">
        <f>'Data Entry'!D12</f>
        <v>0</v>
      </c>
      <c r="F12" s="34">
        <f>IF(((AND($D$69&gt;0,$E$12&gt;0))),(E12/(D69)),0)</f>
        <v>0</v>
      </c>
      <c r="G12" s="39" t="str">
        <f t="shared" si="7"/>
        <v>--</v>
      </c>
      <c r="H12" s="40"/>
      <c r="I12" s="41"/>
      <c r="J12" s="40" t="e">
        <f>IF((ABS($U12)&gt;Defaults!D$7),1,2)</f>
        <v>#VALUE!</v>
      </c>
      <c r="K12" s="39">
        <f>IF((AND(N12&gt;Defaults!B$12,(N12+O12)&gt;Defaults!B$13, P12 &gt; Defaults!B$12, (P12+Q12) &gt; Defaults!B$13)),1,20)</f>
        <v>20</v>
      </c>
      <c r="L12" s="1" t="e">
        <f t="shared" si="8"/>
        <v>#VALUE!</v>
      </c>
      <c r="M12" s="1" t="b">
        <f t="shared" si="0"/>
        <v>0</v>
      </c>
      <c r="N12" s="42">
        <f t="shared" si="1"/>
        <v>0</v>
      </c>
      <c r="O12" s="42">
        <f>(D69*L69)-E12</f>
        <v>0</v>
      </c>
      <c r="P12" s="42">
        <f t="shared" si="2"/>
        <v>12</v>
      </c>
      <c r="Q12" s="42">
        <f>(C69*L69)-C12</f>
        <v>1</v>
      </c>
      <c r="R12" s="42">
        <f t="shared" si="3"/>
        <v>13</v>
      </c>
      <c r="S12" s="30">
        <f t="shared" si="4"/>
        <v>0</v>
      </c>
      <c r="T12" s="30">
        <f t="shared" si="5"/>
        <v>0</v>
      </c>
      <c r="U12" s="31" t="str">
        <f t="shared" si="6"/>
        <v>- -</v>
      </c>
    </row>
    <row r="13" spans="2:21" ht="18" customHeight="1" x14ac:dyDescent="0.25">
      <c r="B13" s="32" t="str">
        <f>'Data Entry'!A13</f>
        <v>8. Cases Resulting in Probation Placement</v>
      </c>
      <c r="C13" s="33">
        <f>'Data Entry'!C13</f>
        <v>23</v>
      </c>
      <c r="D13" s="34">
        <f>IF(((AND(C70&gt;0,C13&gt;0))),(C13/(C70)),0)</f>
        <v>191.66666666666669</v>
      </c>
      <c r="E13" s="33">
        <f>'Data Entry'!D13</f>
        <v>0</v>
      </c>
      <c r="F13" s="34">
        <f>IF(((AND($D$70&gt;0,$E$13&gt;0))),($E$13/($D$70)),0)</f>
        <v>0</v>
      </c>
      <c r="G13" s="39" t="str">
        <f t="shared" si="7"/>
        <v>--</v>
      </c>
      <c r="H13" s="40"/>
      <c r="I13" s="41"/>
      <c r="J13" s="40" t="e">
        <f>IF((ABS($U13)&gt;Defaults!D$7),1,2)</f>
        <v>#VALUE!</v>
      </c>
      <c r="K13" s="39">
        <f>IF((AND(N13&gt;Defaults!B$12,(N13+O13)&gt;Defaults!B$13, P13 &gt; Defaults!B$12, (P13+Q13) &gt; Defaults!B$13)),1,20)</f>
        <v>20</v>
      </c>
      <c r="L13" s="1" t="e">
        <f t="shared" si="8"/>
        <v>#VALUE!</v>
      </c>
      <c r="M13" s="1" t="b">
        <f t="shared" si="0"/>
        <v>0</v>
      </c>
      <c r="N13" s="42">
        <f t="shared" si="1"/>
        <v>0</v>
      </c>
      <c r="O13" s="42">
        <f>(D70*L70)-E13</f>
        <v>0</v>
      </c>
      <c r="P13" s="42">
        <f t="shared" si="2"/>
        <v>23</v>
      </c>
      <c r="Q13" s="42">
        <f>(C70*L70)-C13</f>
        <v>-11</v>
      </c>
      <c r="R13" s="42">
        <f t="shared" si="3"/>
        <v>12</v>
      </c>
      <c r="S13" s="30">
        <f t="shared" si="4"/>
        <v>0</v>
      </c>
      <c r="T13" s="30">
        <f t="shared" si="5"/>
        <v>0</v>
      </c>
      <c r="U13" s="31" t="str">
        <f t="shared" si="6"/>
        <v>- -</v>
      </c>
    </row>
    <row r="14" spans="2:21" ht="30.75" customHeight="1" x14ac:dyDescent="0.25">
      <c r="B14" s="32" t="str">
        <f>'Data Entry'!A14</f>
        <v xml:space="preserve">9. Cases Resulting in Confinement in Secure Juvenile Correctional Facilities </v>
      </c>
      <c r="C14" s="33">
        <f>'Data Entry'!C14</f>
        <v>4</v>
      </c>
      <c r="D14" s="34">
        <f>IF(((AND(C70&gt;0,C14&gt;0))), ((C14/(C70))),0)</f>
        <v>33.333333333333336</v>
      </c>
      <c r="E14" s="33">
        <f>'Data Entry'!D14</f>
        <v>0</v>
      </c>
      <c r="F14" s="34">
        <f>IF(((AND($D$70&gt;0,$E$14&gt;0))), (($E$14/($D$70))),0)</f>
        <v>0</v>
      </c>
      <c r="G14" s="39" t="str">
        <f t="shared" si="7"/>
        <v>--</v>
      </c>
      <c r="H14" s="40"/>
      <c r="I14" s="41"/>
      <c r="J14" s="40" t="e">
        <f>IF((ABS($U14)&gt;Defaults!D$7),1,2)</f>
        <v>#VALUE!</v>
      </c>
      <c r="K14" s="39">
        <f>IF((AND(N14&gt;Defaults!B$12,(N14+O14)&gt;Defaults!B$13, P14 &gt; Defaults!B$12, (P14+Q14) &gt; Defaults!B$13)),1,20)</f>
        <v>20</v>
      </c>
      <c r="L14" s="1" t="e">
        <f t="shared" si="8"/>
        <v>#VALUE!</v>
      </c>
      <c r="M14" s="1" t="b">
        <f t="shared" si="0"/>
        <v>0</v>
      </c>
      <c r="N14" s="42">
        <f t="shared" si="1"/>
        <v>0</v>
      </c>
      <c r="O14" s="42">
        <f>(D70*L70)-E14</f>
        <v>0</v>
      </c>
      <c r="P14" s="42">
        <f t="shared" si="2"/>
        <v>4</v>
      </c>
      <c r="Q14" s="42">
        <f>(C70*L70)-C14</f>
        <v>8</v>
      </c>
      <c r="R14" s="42">
        <f t="shared" si="3"/>
        <v>12</v>
      </c>
      <c r="S14" s="30">
        <f t="shared" si="4"/>
        <v>0</v>
      </c>
      <c r="T14" s="30">
        <f t="shared" si="5"/>
        <v>0</v>
      </c>
      <c r="U14" s="31" t="str">
        <f t="shared" si="6"/>
        <v>- -</v>
      </c>
    </row>
    <row r="15" spans="2:21" ht="15.75" customHeight="1" x14ac:dyDescent="0.25">
      <c r="B15" s="32" t="str">
        <f>'Data Entry'!A15</f>
        <v xml:space="preserve">10. Cases Transferred to Adult Court </v>
      </c>
      <c r="C15" s="33">
        <f>'Data Entry'!C15</f>
        <v>0</v>
      </c>
      <c r="D15" s="34">
        <f>IF(((AND(C69&gt;0,C15&gt;0))),((C15/(C69))),0)</f>
        <v>0</v>
      </c>
      <c r="E15" s="33">
        <f>'Data Entry'!D15</f>
        <v>0</v>
      </c>
      <c r="F15" s="34">
        <f>IF(((AND($D$69&gt;0,$E$15&gt;0))),(($E$15/($D$69))),0)</f>
        <v>0</v>
      </c>
      <c r="G15" s="39" t="str">
        <f t="shared" si="7"/>
        <v>--</v>
      </c>
      <c r="H15" s="40"/>
      <c r="I15" s="41"/>
      <c r="J15" s="40" t="e">
        <f>IF((ABS($U15)&gt;Defaults!D$7),1,2)</f>
        <v>#VALUE!</v>
      </c>
      <c r="K15" s="39">
        <f>IF((AND(N15&gt;Defaults!B$12,(N15+O15)&gt;Defaults!B$13, P15 &gt; Defaults!B$12, (P15+Q15) &gt; Defaults!B$13)),1,20)</f>
        <v>20</v>
      </c>
      <c r="L15" s="1" t="e">
        <f t="shared" si="8"/>
        <v>#VALUE!</v>
      </c>
      <c r="M15" s="1" t="b">
        <f t="shared" si="0"/>
        <v>0</v>
      </c>
      <c r="N15" s="42">
        <f t="shared" si="1"/>
        <v>0</v>
      </c>
      <c r="O15" s="42">
        <f>(D69*L69)-E15</f>
        <v>0</v>
      </c>
      <c r="P15" s="42">
        <f t="shared" si="2"/>
        <v>0</v>
      </c>
      <c r="Q15" s="42">
        <f>(C69*L69)-C15</f>
        <v>13</v>
      </c>
      <c r="R15" s="42">
        <f t="shared" si="3"/>
        <v>13</v>
      </c>
      <c r="S15" s="30">
        <f t="shared" si="4"/>
        <v>0</v>
      </c>
      <c r="T15" s="30">
        <f t="shared" si="5"/>
        <v>0</v>
      </c>
      <c r="U15" s="31" t="str">
        <f t="shared" si="6"/>
        <v>- -</v>
      </c>
    </row>
    <row r="16" spans="2:21" ht="12" customHeight="1" x14ac:dyDescent="0.25">
      <c r="B16" s="43"/>
      <c r="C16" s="44"/>
      <c r="D16" s="44"/>
      <c r="E16" s="44"/>
      <c r="F16" s="44"/>
      <c r="G16" s="44"/>
      <c r="H16" s="44"/>
      <c r="I16" s="44"/>
      <c r="N16" s="21"/>
      <c r="O16" s="21"/>
      <c r="P16" s="21"/>
      <c r="Q16" s="21"/>
      <c r="R16" s="21"/>
      <c r="S16" s="30"/>
      <c r="T16" s="30"/>
      <c r="U16" s="31"/>
    </row>
    <row r="17" spans="2:21" ht="12" customHeight="1" x14ac:dyDescent="0.25">
      <c r="B17" s="43"/>
      <c r="C17" s="44"/>
      <c r="D17" s="44"/>
      <c r="E17" s="44"/>
      <c r="F17" s="44"/>
      <c r="G17" s="44"/>
      <c r="H17" s="44"/>
      <c r="I17" s="44"/>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12" customHeight="1" x14ac:dyDescent="0.25">
      <c r="B24" s="43"/>
      <c r="C24" s="44"/>
      <c r="D24" s="44"/>
      <c r="E24" s="44"/>
      <c r="F24" s="44"/>
      <c r="G24" s="44"/>
      <c r="H24" s="44"/>
      <c r="I24" s="44"/>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referrals</v>
      </c>
      <c r="G29" s="52"/>
      <c r="H29" s="52"/>
      <c r="I29" s="52"/>
      <c r="J29" s="52"/>
      <c r="K29" s="52"/>
      <c r="L29" s="53"/>
      <c r="R29" s="49"/>
    </row>
    <row r="30" spans="2:21" ht="15" customHeight="1" x14ac:dyDescent="0.25">
      <c r="B30" s="52" t="s">
        <v>73</v>
      </c>
      <c r="C30" s="52"/>
      <c r="D30" s="52"/>
      <c r="E30" s="52"/>
      <c r="F30" s="52" t="str">
        <f>B68</f>
        <v>per 100 referrals</v>
      </c>
      <c r="G30" s="52"/>
      <c r="H30" s="52"/>
      <c r="I30" s="52"/>
      <c r="J30" s="52"/>
      <c r="K30" s="52"/>
      <c r="L30" s="53"/>
      <c r="N30" s="1" t="b">
        <f>ISNUMBER(J14)</f>
        <v>0</v>
      </c>
      <c r="R30" s="49"/>
    </row>
    <row r="31" spans="2:21" ht="15" customHeight="1" x14ac:dyDescent="0.25">
      <c r="B31" s="52" t="s">
        <v>74</v>
      </c>
      <c r="C31" s="52"/>
      <c r="D31" s="52"/>
      <c r="E31" s="52"/>
      <c r="F31" s="52" t="str">
        <f>B68</f>
        <v>per 100 referrals</v>
      </c>
      <c r="G31" s="52"/>
      <c r="H31" s="52"/>
      <c r="I31" s="52"/>
      <c r="J31" s="52"/>
      <c r="K31" s="52"/>
      <c r="L31" s="53"/>
      <c r="R31" s="49"/>
    </row>
    <row r="32" spans="2:21" ht="15" customHeight="1" x14ac:dyDescent="0.25">
      <c r="B32" s="52" t="s">
        <v>75</v>
      </c>
      <c r="C32" s="52"/>
      <c r="D32" s="52"/>
      <c r="E32" s="52"/>
      <c r="F32" s="52" t="str">
        <f>B69</f>
        <v>per 100 youth petitioned</v>
      </c>
      <c r="G32" s="52"/>
      <c r="H32" s="52"/>
      <c r="I32" s="52"/>
      <c r="J32" s="52"/>
      <c r="K32" s="52"/>
      <c r="L32" s="53"/>
      <c r="R32" s="49"/>
    </row>
    <row r="33" spans="2:18" ht="15" customHeight="1" x14ac:dyDescent="0.25">
      <c r="B33" s="52" t="s">
        <v>76</v>
      </c>
      <c r="C33" s="52"/>
      <c r="D33" s="52"/>
      <c r="E33" s="52"/>
      <c r="F33" s="52" t="str">
        <f>B70</f>
        <v>per 100 youth found delinquent</v>
      </c>
      <c r="G33" s="52"/>
      <c r="H33" s="52"/>
      <c r="I33" s="52"/>
      <c r="J33" s="52"/>
      <c r="K33" s="52"/>
      <c r="L33" s="53"/>
      <c r="R33" s="49"/>
    </row>
    <row r="34" spans="2:18" ht="15" customHeight="1" x14ac:dyDescent="0.25">
      <c r="B34" s="52" t="s">
        <v>77</v>
      </c>
      <c r="C34" s="52"/>
      <c r="D34" s="52"/>
      <c r="E34" s="52"/>
      <c r="F34" s="52" t="str">
        <f>B70</f>
        <v>per 100 youth found delinquent</v>
      </c>
      <c r="G34" s="52"/>
      <c r="H34" s="52"/>
      <c r="I34" s="52"/>
      <c r="J34" s="52"/>
      <c r="K34" s="52"/>
      <c r="L34" s="53"/>
      <c r="R34" s="49"/>
    </row>
    <row r="35" spans="2:18" ht="15" customHeight="1" x14ac:dyDescent="0.25">
      <c r="B35" s="52" t="s">
        <v>78</v>
      </c>
      <c r="C35" s="52"/>
      <c r="D35" s="52"/>
      <c r="E35" s="52"/>
      <c r="F35" s="52" t="str">
        <f>B69</f>
        <v>per 100 youth petitioned</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2.3570000000000002</v>
      </c>
      <c r="D42" s="56">
        <f>E6/1000</f>
        <v>4.2000000000000003E-2</v>
      </c>
      <c r="E42" s="56">
        <f>MAX(C42:D42)</f>
        <v>2.3570000000000002</v>
      </c>
      <c r="G42" s="1" t="str">
        <f>B42</f>
        <v>per 1000 youth</v>
      </c>
      <c r="L42" s="57">
        <v>1000</v>
      </c>
      <c r="M42" s="57"/>
      <c r="R42" s="49"/>
    </row>
    <row r="43" spans="2:18" ht="15" hidden="1" customHeight="1" x14ac:dyDescent="0.25">
      <c r="B43" s="49" t="s">
        <v>87</v>
      </c>
      <c r="C43" s="56">
        <f>C7/100</f>
        <v>0.03</v>
      </c>
      <c r="D43" s="56">
        <f>E7/100</f>
        <v>0</v>
      </c>
      <c r="E43" s="56">
        <f>MAX(C43:D43,0)</f>
        <v>0.03</v>
      </c>
      <c r="G43" s="1" t="str">
        <f>B43</f>
        <v>per 100 arrests</v>
      </c>
      <c r="L43" s="57">
        <v>100</v>
      </c>
      <c r="M43" s="57"/>
      <c r="R43" s="49"/>
    </row>
    <row r="44" spans="2:18" ht="15" hidden="1" customHeight="1" x14ac:dyDescent="0.25">
      <c r="B44" s="49" t="s">
        <v>88</v>
      </c>
      <c r="C44" s="56">
        <f>C8/100</f>
        <v>0.27</v>
      </c>
      <c r="D44" s="56">
        <f>E8/100</f>
        <v>0</v>
      </c>
      <c r="E44" s="56">
        <f>MAX(C44:D44,0)</f>
        <v>0.27</v>
      </c>
      <c r="G44" s="1" t="str">
        <f>B44</f>
        <v>per 100 referrals</v>
      </c>
      <c r="L44" s="57">
        <v>100</v>
      </c>
      <c r="M44" s="57"/>
      <c r="R44" s="49"/>
    </row>
    <row r="45" spans="2:18" ht="15" hidden="1" customHeight="1" x14ac:dyDescent="0.25">
      <c r="B45" s="49" t="s">
        <v>89</v>
      </c>
      <c r="C45" s="49">
        <f>C11/100</f>
        <v>0.13</v>
      </c>
      <c r="D45" s="49">
        <f>E11/100</f>
        <v>0</v>
      </c>
      <c r="E45" s="56">
        <f>MAX(C45:D45,0)</f>
        <v>0.13</v>
      </c>
      <c r="G45" s="1" t="str">
        <f>B45</f>
        <v>per 100 youth petitioned</v>
      </c>
      <c r="L45" s="57">
        <v>100</v>
      </c>
      <c r="M45" s="57"/>
      <c r="R45" s="49"/>
    </row>
    <row r="46" spans="2:18" ht="15" hidden="1" customHeight="1" x14ac:dyDescent="0.25">
      <c r="B46" s="49" t="s">
        <v>90</v>
      </c>
      <c r="C46" s="49">
        <f>C12/100</f>
        <v>0.12</v>
      </c>
      <c r="D46" s="49">
        <f>E12/100</f>
        <v>0</v>
      </c>
      <c r="E46" s="56">
        <f>MAX(C46:D46)</f>
        <v>0.12</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2.3570000000000002</v>
      </c>
      <c r="D48" s="56">
        <f>D42</f>
        <v>4.2000000000000003E-2</v>
      </c>
      <c r="E48" s="56">
        <f>MAX(C48:D48)</f>
        <v>2.3570000000000002</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IF(($E43&gt;0),C43,C42)</f>
        <v>0.03</v>
      </c>
      <c r="D49" s="49">
        <f t="shared" si="9"/>
        <v>0</v>
      </c>
      <c r="E49" s="49">
        <f>MAX(C49:D49)</f>
        <v>0.03</v>
      </c>
      <c r="G49" s="1" t="str">
        <f>G43</f>
        <v>per 100 arrests</v>
      </c>
      <c r="L49" s="58">
        <f>IF(($E43&gt;0),L43,L42)</f>
        <v>100</v>
      </c>
      <c r="M49" s="58"/>
      <c r="N49" s="21"/>
      <c r="O49" s="21"/>
      <c r="P49" s="21"/>
      <c r="Q49" s="21"/>
      <c r="R49" s="21"/>
    </row>
    <row r="50" spans="2:18" ht="15" hidden="1" customHeight="1" x14ac:dyDescent="0.25">
      <c r="B50" s="49" t="str">
        <f t="shared" si="9"/>
        <v>per 100 referrals</v>
      </c>
      <c r="C50" s="49">
        <f t="shared" si="9"/>
        <v>0.27</v>
      </c>
      <c r="D50" s="49">
        <f t="shared" si="9"/>
        <v>0</v>
      </c>
      <c r="E50" s="49">
        <f>MAX(C50:D50)</f>
        <v>0.27</v>
      </c>
      <c r="G50" s="1" t="str">
        <f>G44</f>
        <v>per 100 referrals</v>
      </c>
      <c r="L50" s="58">
        <f>IF(($E44&gt;0),L44,L43)</f>
        <v>100</v>
      </c>
      <c r="M50" s="58"/>
      <c r="N50" s="21"/>
      <c r="O50" s="21"/>
      <c r="P50" s="21"/>
      <c r="Q50" s="21"/>
      <c r="R50" s="21"/>
    </row>
    <row r="51" spans="2:18" ht="15" hidden="1" customHeight="1" x14ac:dyDescent="0.25">
      <c r="B51" s="49" t="str">
        <f>IF(($E45&gt;0),B45,B43)</f>
        <v>per 100 youth petitioned</v>
      </c>
      <c r="C51" s="49">
        <f>IF(($E45&gt;0),C45,C44)</f>
        <v>0.13</v>
      </c>
      <c r="D51" s="49">
        <f>IF(($E45&gt;0),D45,D44)</f>
        <v>0</v>
      </c>
      <c r="E51" s="49">
        <f>MAX(C51:D51)</f>
        <v>0.13</v>
      </c>
      <c r="G51" s="1" t="str">
        <f>G45</f>
        <v>per 100 youth petitioned</v>
      </c>
      <c r="L51" s="58">
        <f>IF(($E45&gt;0),L45,L44)</f>
        <v>100</v>
      </c>
      <c r="M51" s="58"/>
    </row>
    <row r="52" spans="2:18" ht="15" hidden="1" customHeight="1" x14ac:dyDescent="0.25">
      <c r="B52" s="49" t="str">
        <f>IF(($E46&gt;0),B46,B45)</f>
        <v>per 100 youth found delinquent</v>
      </c>
      <c r="C52" s="49">
        <f>IF(($E46&gt;0),C46,C45)</f>
        <v>0.12</v>
      </c>
      <c r="D52" s="49">
        <f>IF(($E46&gt;0),D46,D45)</f>
        <v>0</v>
      </c>
      <c r="E52" s="56">
        <f>MAX(C52:D52)</f>
        <v>0.12</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2.3570000000000002</v>
      </c>
      <c r="D54" s="56">
        <f>D48</f>
        <v>4.2000000000000003E-2</v>
      </c>
      <c r="E54" s="56">
        <f>MAX(C54:D54)</f>
        <v>2.3570000000000002</v>
      </c>
      <c r="G54" s="1" t="str">
        <f>G48</f>
        <v>per 1000 youth</v>
      </c>
      <c r="L54" s="58">
        <f>L48</f>
        <v>1000</v>
      </c>
      <c r="M54" s="58"/>
    </row>
    <row r="55" spans="2:18" ht="15" hidden="1" customHeight="1" x14ac:dyDescent="0.25">
      <c r="B55" s="49" t="str">
        <f t="shared" ref="B55:D56" si="10">IF(($E49&gt;0),B49,B48)</f>
        <v>per 100 arrests</v>
      </c>
      <c r="C55" s="49">
        <f t="shared" si="10"/>
        <v>0.03</v>
      </c>
      <c r="D55" s="49">
        <f t="shared" si="10"/>
        <v>0</v>
      </c>
      <c r="E55" s="49">
        <f>MAX(C55:D55)</f>
        <v>0.03</v>
      </c>
      <c r="G55" s="1" t="str">
        <f>G49</f>
        <v>per 100 arrests</v>
      </c>
      <c r="L55" s="58">
        <f>IF(($E49&gt;0),L49,L48)</f>
        <v>100</v>
      </c>
      <c r="M55" s="58"/>
    </row>
    <row r="56" spans="2:18" ht="15" hidden="1" customHeight="1" x14ac:dyDescent="0.25">
      <c r="B56" s="49" t="str">
        <f t="shared" si="10"/>
        <v>per 100 referrals</v>
      </c>
      <c r="C56" s="49">
        <f t="shared" si="10"/>
        <v>0.27</v>
      </c>
      <c r="D56" s="49">
        <f t="shared" si="10"/>
        <v>0</v>
      </c>
      <c r="E56" s="49">
        <f>MAX(C56:D56)</f>
        <v>0.27</v>
      </c>
      <c r="G56" s="1" t="str">
        <f>G50</f>
        <v>per 100 referrals</v>
      </c>
      <c r="L56" s="58">
        <f>IF(($E50&gt;0),L50,L49)</f>
        <v>100</v>
      </c>
      <c r="M56" s="58"/>
    </row>
    <row r="57" spans="2:18" ht="15" hidden="1" customHeight="1" x14ac:dyDescent="0.25">
      <c r="B57" s="49" t="str">
        <f>IF(($E51&gt;0),B51,B49)</f>
        <v>per 100 youth petitioned</v>
      </c>
      <c r="C57" s="49">
        <f>IF(($E51&gt;0),C51,C50)</f>
        <v>0.13</v>
      </c>
      <c r="D57" s="49">
        <f>IF(($E51&gt;0),D51,D50)</f>
        <v>0</v>
      </c>
      <c r="E57" s="49">
        <f>MAX(C57:D57)</f>
        <v>0.13</v>
      </c>
      <c r="G57" s="1" t="str">
        <f>G51</f>
        <v>per 100 youth petitioned</v>
      </c>
      <c r="L57" s="58">
        <f>IF(($E51&gt;0),L51,L50)</f>
        <v>100</v>
      </c>
      <c r="M57" s="58"/>
    </row>
    <row r="58" spans="2:18" ht="15" hidden="1" customHeight="1" x14ac:dyDescent="0.25">
      <c r="B58" s="49" t="str">
        <f>IF(($E52&gt;0),B52,B51)</f>
        <v>per 100 youth found delinquent</v>
      </c>
      <c r="C58" s="49">
        <f>IF(($E52&gt;0),C52,C51)</f>
        <v>0.12</v>
      </c>
      <c r="D58" s="49">
        <f>IF(($E52&gt;0),D52,D51)</f>
        <v>0</v>
      </c>
      <c r="E58" s="56">
        <f>MAX(C58:D58)</f>
        <v>0.12</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2.3570000000000002</v>
      </c>
      <c r="D60" s="56">
        <f>D54</f>
        <v>4.2000000000000003E-2</v>
      </c>
      <c r="E60" s="56">
        <f>MAX(C60:D60)</f>
        <v>2.3570000000000002</v>
      </c>
      <c r="G60" s="1" t="str">
        <f>G54</f>
        <v>per 1000 youth</v>
      </c>
      <c r="L60" s="58">
        <f>L54</f>
        <v>1000</v>
      </c>
      <c r="M60" s="58"/>
    </row>
    <row r="61" spans="2:18" ht="15" hidden="1" customHeight="1" x14ac:dyDescent="0.25">
      <c r="B61" s="49" t="str">
        <f t="shared" ref="B61:D62" si="11">IF(($E55&gt;0),B55,B54)</f>
        <v>per 100 arrests</v>
      </c>
      <c r="C61" s="49">
        <f t="shared" si="11"/>
        <v>0.03</v>
      </c>
      <c r="D61" s="49">
        <f t="shared" si="11"/>
        <v>0</v>
      </c>
      <c r="E61" s="49">
        <f>MAX(C61:D61)</f>
        <v>0.03</v>
      </c>
      <c r="G61" s="1" t="str">
        <f>G55</f>
        <v>per 100 arrests</v>
      </c>
      <c r="L61" s="58">
        <f>IF(($E55&gt;0),L55,L54)</f>
        <v>100</v>
      </c>
      <c r="M61" s="58"/>
    </row>
    <row r="62" spans="2:18" ht="15" hidden="1" customHeight="1" x14ac:dyDescent="0.25">
      <c r="B62" s="49" t="str">
        <f t="shared" si="11"/>
        <v>per 100 referrals</v>
      </c>
      <c r="C62" s="49">
        <f t="shared" si="11"/>
        <v>0.27</v>
      </c>
      <c r="D62" s="49">
        <f t="shared" si="11"/>
        <v>0</v>
      </c>
      <c r="E62" s="49">
        <f>MAX(C62:D62)</f>
        <v>0.27</v>
      </c>
      <c r="G62" s="1" t="str">
        <f>G56</f>
        <v>per 100 referrals</v>
      </c>
      <c r="L62" s="58">
        <f>IF(($E56&gt;0),L56,L55)</f>
        <v>100</v>
      </c>
      <c r="M62" s="58"/>
    </row>
    <row r="63" spans="2:18" ht="15" hidden="1" customHeight="1" x14ac:dyDescent="0.25">
      <c r="B63" s="49" t="str">
        <f>IF(($E57&gt;0),B57,B55)</f>
        <v>per 100 youth petitioned</v>
      </c>
      <c r="C63" s="49">
        <f>IF(($E57&gt;0),C57,C56)</f>
        <v>0.13</v>
      </c>
      <c r="D63" s="49">
        <f>IF(($E57&gt;0),D57,D56)</f>
        <v>0</v>
      </c>
      <c r="E63" s="49">
        <f>MAX(C63:D63)</f>
        <v>0.13</v>
      </c>
      <c r="G63" s="1" t="str">
        <f>G57</f>
        <v>per 100 youth petitioned</v>
      </c>
      <c r="L63" s="58">
        <f>IF(($E57&gt;0),L57,L56)</f>
        <v>100</v>
      </c>
      <c r="M63" s="58"/>
    </row>
    <row r="64" spans="2:18" ht="15" hidden="1" customHeight="1" x14ac:dyDescent="0.25">
      <c r="B64" s="49" t="str">
        <f>IF(($E58&gt;0),B58,B57)</f>
        <v>per 100 youth found delinquent</v>
      </c>
      <c r="C64" s="49">
        <f>IF(($E58&gt;0),C58,C57)</f>
        <v>0.12</v>
      </c>
      <c r="D64" s="49">
        <f>IF(($E58&gt;0),D58,D57)</f>
        <v>0</v>
      </c>
      <c r="E64" s="56">
        <f>MAX(C64:D64)</f>
        <v>0.12</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2.3570000000000002</v>
      </c>
      <c r="D66" s="56">
        <f>D60</f>
        <v>4.2000000000000003E-2</v>
      </c>
      <c r="E66" s="56">
        <f>MAX(C66:D66)</f>
        <v>2.3570000000000002</v>
      </c>
      <c r="G66" s="1" t="str">
        <f>G60</f>
        <v>per 1000 youth</v>
      </c>
      <c r="L66" s="58">
        <f>L60</f>
        <v>1000</v>
      </c>
      <c r="M66" s="58">
        <f>IF((B66=G66),1,2)</f>
        <v>1</v>
      </c>
    </row>
    <row r="67" spans="2:13" ht="15" hidden="1" customHeight="1" x14ac:dyDescent="0.25">
      <c r="B67" s="49" t="str">
        <f t="shared" ref="B67:D68" si="12">IF(($E61&gt;0),B61,B60)</f>
        <v>per 100 arrests</v>
      </c>
      <c r="C67" s="49">
        <f t="shared" si="12"/>
        <v>0.03</v>
      </c>
      <c r="D67" s="49">
        <f t="shared" si="12"/>
        <v>0</v>
      </c>
      <c r="E67" s="49">
        <f>MAX(C67:D67)</f>
        <v>0.03</v>
      </c>
      <c r="G67" s="1" t="str">
        <f>G61</f>
        <v>per 100 arrests</v>
      </c>
      <c r="L67" s="58">
        <f>IF(($E61&gt;0),L61,L60)</f>
        <v>100</v>
      </c>
      <c r="M67" s="58">
        <f>IF((B67=G67),1,2)</f>
        <v>1</v>
      </c>
    </row>
    <row r="68" spans="2:13" ht="15" hidden="1" customHeight="1" x14ac:dyDescent="0.25">
      <c r="B68" s="49" t="str">
        <f t="shared" si="12"/>
        <v>per 100 referrals</v>
      </c>
      <c r="C68" s="49">
        <f t="shared" si="12"/>
        <v>0.27</v>
      </c>
      <c r="D68" s="49">
        <f t="shared" si="12"/>
        <v>0</v>
      </c>
      <c r="E68" s="49">
        <f>MAX(C68:D68)</f>
        <v>0.27</v>
      </c>
      <c r="G68" s="1" t="str">
        <f>G62</f>
        <v>per 100 referrals</v>
      </c>
      <c r="L68" s="58">
        <f>IF(($E62&gt;0),L62,L61)</f>
        <v>100</v>
      </c>
      <c r="M68" s="58">
        <f>IF((B68=G68),1,2)</f>
        <v>1</v>
      </c>
    </row>
    <row r="69" spans="2:13" ht="15" hidden="1" customHeight="1" x14ac:dyDescent="0.25">
      <c r="B69" s="49" t="str">
        <f>IF(($E63&gt;0),B63,B61)</f>
        <v>per 100 youth petitioned</v>
      </c>
      <c r="C69" s="49">
        <f>IF(($E63&gt;0),C63,C62)</f>
        <v>0.13</v>
      </c>
      <c r="D69" s="49">
        <f>IF(($E63&gt;0),D63,D62)</f>
        <v>0</v>
      </c>
      <c r="E69" s="49">
        <f>MAX(C69:D69)</f>
        <v>0.13</v>
      </c>
      <c r="G69" s="1" t="str">
        <f>G63</f>
        <v>per 100 youth petitioned</v>
      </c>
      <c r="L69" s="58">
        <f>IF(($E63&gt;0),L63,L62)</f>
        <v>100</v>
      </c>
      <c r="M69" s="58">
        <f>IF((B69=G69),1,2)</f>
        <v>1</v>
      </c>
    </row>
    <row r="70" spans="2:13" ht="15" hidden="1" customHeight="1" x14ac:dyDescent="0.25">
      <c r="B70" s="49" t="str">
        <f>IF(($E64&gt;0),B64,B63)</f>
        <v>per 100 youth found delinquent</v>
      </c>
      <c r="C70" s="49">
        <f>IF(($E64&gt;0),C64,C63)</f>
        <v>0.12</v>
      </c>
      <c r="D70" s="49">
        <f>IF(($E64&gt;0),D64,D63)</f>
        <v>0</v>
      </c>
      <c r="E70" s="56">
        <f>MAX(C70:D70)</f>
        <v>0.12</v>
      </c>
      <c r="G70" s="1" t="str">
        <f>G64</f>
        <v>per 100 youth found delinquent</v>
      </c>
      <c r="L70" s="58">
        <f>IF(($E64&gt;0),L64,L63)</f>
        <v>100</v>
      </c>
      <c r="M70" s="58">
        <f>IF((B70=G70),1,2)</f>
        <v>1</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G8:G15">
    <cfRule type="expression" dxfId="92" priority="1" stopIfTrue="1">
      <formula>$L8=1</formula>
    </cfRule>
    <cfRule type="expression" dxfId="91" priority="2" stopIfTrue="1">
      <formula>$L8=2</formula>
    </cfRule>
    <cfRule type="expression" dxfId="90" priority="3" stopIfTrue="1">
      <formula>$L8&gt;3</formula>
    </cfRule>
  </conditionalFormatting>
  <conditionalFormatting sqref="F27">
    <cfRule type="expression" dxfId="89" priority="4" stopIfTrue="1">
      <formula>M66=2</formula>
    </cfRule>
  </conditionalFormatting>
  <conditionalFormatting sqref="F30">
    <cfRule type="expression" dxfId="88" priority="5" stopIfTrue="1">
      <formula>M68 = 2</formula>
    </cfRule>
  </conditionalFormatting>
  <conditionalFormatting sqref="F28">
    <cfRule type="expression" dxfId="87" priority="6" stopIfTrue="1">
      <formula>M67=2</formula>
    </cfRule>
  </conditionalFormatting>
  <conditionalFormatting sqref="F29">
    <cfRule type="expression" dxfId="86" priority="7" stopIfTrue="1">
      <formula>M68 = 2</formula>
    </cfRule>
  </conditionalFormatting>
  <conditionalFormatting sqref="F31">
    <cfRule type="expression" dxfId="85" priority="8" stopIfTrue="1">
      <formula>M68 = 2</formula>
    </cfRule>
  </conditionalFormatting>
  <conditionalFormatting sqref="F32:F33">
    <cfRule type="expression" dxfId="84" priority="9" stopIfTrue="1">
      <formula>M69=2</formula>
    </cfRule>
  </conditionalFormatting>
  <conditionalFormatting sqref="F34">
    <cfRule type="expression" dxfId="83" priority="10" stopIfTrue="1">
      <formula>M70 = 2</formula>
    </cfRule>
  </conditionalFormatting>
  <conditionalFormatting sqref="F35">
    <cfRule type="expression" dxfId="82" priority="11" stopIfTrue="1">
      <formula>M69=2</formula>
    </cfRule>
  </conditionalFormatting>
  <conditionalFormatting sqref="B86">
    <cfRule type="expression" dxfId="81" priority="12" stopIfTrue="1">
      <formula>$D$83= 2</formula>
    </cfRule>
  </conditionalFormatting>
  <conditionalFormatting sqref="G7">
    <cfRule type="expression" dxfId="80" priority="13" stopIfTrue="1">
      <formula>$L7=1</formula>
    </cfRule>
    <cfRule type="expression" dxfId="79" priority="14" stopIfTrue="1">
      <formula>$L7=2</formula>
    </cfRule>
    <cfRule type="expression" dxfId="78" priority="15" stopIfTrue="1">
      <formula>$L7&gt;3</formula>
    </cfRule>
  </conditionalFormatting>
  <pageMargins left="0.56999999999999995" right="0.17" top="0.75" bottom="0.5" header="0" footer="0"/>
  <pageSetup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V90"/>
  <sheetViews>
    <sheetView showGridLines="0" showRowColHeaders="0"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0" style="1" hidden="1" customWidth="1"/>
  </cols>
  <sheetData>
    <row r="1" spans="2:21" ht="27.75" customHeight="1" x14ac:dyDescent="0.25">
      <c r="B1" s="16" t="s">
        <v>29</v>
      </c>
      <c r="D1" s="20" t="s">
        <v>30</v>
      </c>
      <c r="E1" s="14"/>
      <c r="F1" s="219" t="str">
        <f>'Data Entry'!F5</f>
        <v>Asian</v>
      </c>
      <c r="G1" s="219"/>
      <c r="H1" s="219"/>
      <c r="I1" s="219"/>
      <c r="J1" s="219"/>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Emmet</v>
      </c>
      <c r="C3" s="22"/>
      <c r="D3" s="22"/>
      <c r="E3" s="22"/>
      <c r="F3" s="22"/>
      <c r="G3" s="7"/>
      <c r="H3" s="7"/>
      <c r="I3" s="7"/>
      <c r="J3" s="7"/>
      <c r="K3" s="7"/>
      <c r="N3" s="218" t="s">
        <v>31</v>
      </c>
      <c r="O3" s="218"/>
      <c r="P3" s="218"/>
      <c r="Q3" s="218"/>
      <c r="R3" s="218"/>
      <c r="S3" s="218"/>
      <c r="T3" s="218"/>
      <c r="U3" s="218"/>
    </row>
    <row r="4" spans="2:21" ht="8.2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2357</v>
      </c>
      <c r="D6" s="34"/>
      <c r="E6" s="33">
        <f>'Data Entry'!F6</f>
        <v>27</v>
      </c>
      <c r="F6" s="34"/>
      <c r="G6" s="35"/>
      <c r="H6" s="36"/>
      <c r="I6" s="37"/>
      <c r="J6" s="38"/>
      <c r="K6" s="37"/>
      <c r="L6" s="1">
        <f>IF( ('Data Entry'!F6&gt;('Data Entry'!B6/100)),1,100)</f>
        <v>1</v>
      </c>
      <c r="M6" s="1" t="s">
        <v>50</v>
      </c>
      <c r="N6" s="21"/>
      <c r="O6" s="21"/>
      <c r="P6" s="21"/>
      <c r="Q6" s="21"/>
      <c r="R6" s="21"/>
      <c r="S6" s="30"/>
      <c r="T6" s="30"/>
      <c r="U6" s="31"/>
    </row>
    <row r="7" spans="2:21" ht="18" customHeight="1" x14ac:dyDescent="0.25">
      <c r="B7" s="32" t="str">
        <f>'Data Entry'!A7</f>
        <v xml:space="preserve">2. Juvenile Arrests </v>
      </c>
      <c r="C7" s="33">
        <f>'Data Entry'!C7</f>
        <v>3</v>
      </c>
      <c r="D7" s="34">
        <f>IF((AND(C66&gt;0,C7&gt;0)),(C7/C66),0)</f>
        <v>1.2728044123886295</v>
      </c>
      <c r="E7" s="33">
        <f>'Data Entry'!F7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0</v>
      </c>
      <c r="O7" s="42">
        <f>E6-E7</f>
        <v>27</v>
      </c>
      <c r="P7" s="42">
        <f t="shared" ref="P7:P15" si="4">C7</f>
        <v>3</v>
      </c>
      <c r="Q7" s="42">
        <f>C6-C7</f>
        <v>2354</v>
      </c>
      <c r="R7" s="42">
        <f t="shared" ref="R7:R15" si="5">SUM(N7:Q7)</f>
        <v>2384</v>
      </c>
      <c r="S7" s="30">
        <f t="shared" ref="S7:S15" si="6">R7*((((N7*Q7)-(O7*P7))^2))</f>
        <v>15641424</v>
      </c>
      <c r="T7" s="30">
        <f t="shared" ref="T7:T15" si="7">(N7+O7)*(P7+Q7)*(N7+P7)*(O7+Q7)</f>
        <v>454573377</v>
      </c>
      <c r="U7" s="31">
        <f t="shared" ref="U7:U15" si="8">IF((S7&gt;0),S7/T7,"- -")</f>
        <v>3.4409019074603656E-2</v>
      </c>
    </row>
    <row r="8" spans="2:21" ht="18" customHeight="1" x14ac:dyDescent="0.25">
      <c r="B8" s="32" t="str">
        <f>'Data Entry'!A8</f>
        <v>3. Refer to Juvenile Court</v>
      </c>
      <c r="C8" s="33">
        <f>'Data Entry'!C8</f>
        <v>27</v>
      </c>
      <c r="D8" s="34">
        <f>IF((AND(C67&gt;0,C8&gt;0)),(C8/C67),0)</f>
        <v>900</v>
      </c>
      <c r="E8" s="33">
        <f>'Data Entry'!F8</f>
        <v>0</v>
      </c>
      <c r="F8" s="34">
        <f>IF((AND($E$8&gt;0,$D$67&gt;0)),($E8/$D67),0)</f>
        <v>0</v>
      </c>
      <c r="G8" s="39" t="str">
        <f t="shared" si="0"/>
        <v>**</v>
      </c>
      <c r="H8" s="40"/>
      <c r="I8" s="41"/>
      <c r="J8" s="40">
        <f>IF((ABS($U8)&gt;Defaults!D$7),1,2)</f>
        <v>2</v>
      </c>
      <c r="K8" s="39">
        <f>IF((AND(N8&gt;Defaults!B$12,(N8+O8)&gt;Defaults!B$13, P8 &gt; Defaults!B$12, (P8+Q8) &gt; Defaults!B$13)),1,20)</f>
        <v>20</v>
      </c>
      <c r="L8" s="1">
        <f t="shared" si="1"/>
        <v>40</v>
      </c>
      <c r="M8" s="1" t="b">
        <f t="shared" si="2"/>
        <v>1</v>
      </c>
      <c r="N8" s="42">
        <f t="shared" si="3"/>
        <v>0</v>
      </c>
      <c r="O8" s="42">
        <f>((D67*L67)-E8)+0.05</f>
        <v>0.05</v>
      </c>
      <c r="P8" s="42">
        <f t="shared" si="4"/>
        <v>27</v>
      </c>
      <c r="Q8" s="42">
        <f>(C$67*L67)-C8</f>
        <v>-24</v>
      </c>
      <c r="R8" s="42">
        <f t="shared" si="5"/>
        <v>3.0500000000000007</v>
      </c>
      <c r="S8" s="30">
        <f t="shared" si="6"/>
        <v>5.5586250000000019</v>
      </c>
      <c r="T8" s="30">
        <f t="shared" si="7"/>
        <v>-96.997500000000016</v>
      </c>
      <c r="U8" s="31">
        <f t="shared" si="8"/>
        <v>-5.7306889352818378E-2</v>
      </c>
    </row>
    <row r="9" spans="2:21" ht="18" customHeight="1" x14ac:dyDescent="0.25">
      <c r="B9" s="32" t="str">
        <f>'Data Entry'!A9</f>
        <v xml:space="preserve">4. Cases Diverted </v>
      </c>
      <c r="C9" s="33">
        <f>'Data Entry'!C9</f>
        <v>1</v>
      </c>
      <c r="D9" s="34">
        <f>IF((AND(C68&gt;0,C9&gt;0)),((C9/C68)),0)</f>
        <v>3.7037037037037033</v>
      </c>
      <c r="E9" s="33">
        <f>'Data Entry'!F9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1</v>
      </c>
      <c r="Q9" s="42">
        <f>(C$68*L68)-C9</f>
        <v>26</v>
      </c>
      <c r="R9" s="42">
        <f t="shared" si="5"/>
        <v>27</v>
      </c>
      <c r="S9" s="30">
        <f t="shared" si="6"/>
        <v>0</v>
      </c>
      <c r="T9" s="30">
        <f t="shared" si="7"/>
        <v>0</v>
      </c>
      <c r="U9" s="31" t="str">
        <f t="shared" si="8"/>
        <v>- -</v>
      </c>
    </row>
    <row r="10" spans="2:21" ht="18" customHeight="1" x14ac:dyDescent="0.25">
      <c r="B10" s="32" t="str">
        <f>'Data Entry'!A10</f>
        <v>5. Cases Involving Secure Detention</v>
      </c>
      <c r="C10" s="33">
        <f>'Data Entry'!C10</f>
        <v>2</v>
      </c>
      <c r="D10" s="34">
        <f>IF(((AND(C68&gt;0,C10&gt;0))),(C10/(C68)),0)</f>
        <v>7.4074074074074066</v>
      </c>
      <c r="E10" s="33">
        <f>'Data Entry'!F10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2</v>
      </c>
      <c r="Q10" s="42">
        <f>(C$68*L68)-C10</f>
        <v>25</v>
      </c>
      <c r="R10" s="42">
        <f t="shared" si="5"/>
        <v>27</v>
      </c>
      <c r="S10" s="30">
        <f t="shared" si="6"/>
        <v>0</v>
      </c>
      <c r="T10" s="30">
        <f t="shared" si="7"/>
        <v>0</v>
      </c>
      <c r="U10" s="31" t="str">
        <f t="shared" si="8"/>
        <v>- -</v>
      </c>
    </row>
    <row r="11" spans="2:21" ht="18" customHeight="1" x14ac:dyDescent="0.25">
      <c r="B11" s="32" t="str">
        <f>'Data Entry'!A11</f>
        <v>6. Cases Petitioned (Charge Filed)</v>
      </c>
      <c r="C11" s="33">
        <f>'Data Entry'!C11</f>
        <v>13</v>
      </c>
      <c r="D11" s="34">
        <f>IF(((AND(C68&gt;0,C11&gt;0))),(C11/(C68)),0)</f>
        <v>48.148148148148145</v>
      </c>
      <c r="E11" s="33">
        <f>'Data Entry'!F11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13</v>
      </c>
      <c r="Q11" s="42">
        <f>(C$68*L68)-C11</f>
        <v>14</v>
      </c>
      <c r="R11" s="42">
        <f t="shared" si="5"/>
        <v>27</v>
      </c>
      <c r="S11" s="30">
        <f t="shared" si="6"/>
        <v>0</v>
      </c>
      <c r="T11" s="30">
        <f t="shared" si="7"/>
        <v>0</v>
      </c>
      <c r="U11" s="31" t="str">
        <f t="shared" si="8"/>
        <v>- -</v>
      </c>
    </row>
    <row r="12" spans="2:21" ht="18" customHeight="1" x14ac:dyDescent="0.25">
      <c r="B12" s="32" t="str">
        <f>'Data Entry'!A12</f>
        <v>7. Cases Resulting in Delinquent Findings</v>
      </c>
      <c r="C12" s="33">
        <f>'Data Entry'!C12</f>
        <v>12</v>
      </c>
      <c r="D12" s="34">
        <f>IF(((AND(C69&gt;0,C12&gt;0))),(C12/(C69)),0)</f>
        <v>92.307692307692307</v>
      </c>
      <c r="E12" s="33">
        <f>'Data Entry'!F12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12</v>
      </c>
      <c r="Q12" s="42">
        <f>(C69*L69)-C12</f>
        <v>1</v>
      </c>
      <c r="R12" s="42">
        <f t="shared" si="5"/>
        <v>13</v>
      </c>
      <c r="S12" s="30">
        <f t="shared" si="6"/>
        <v>0</v>
      </c>
      <c r="T12" s="30">
        <f t="shared" si="7"/>
        <v>0</v>
      </c>
      <c r="U12" s="31" t="str">
        <f t="shared" si="8"/>
        <v>- -</v>
      </c>
    </row>
    <row r="13" spans="2:21" ht="18" customHeight="1" x14ac:dyDescent="0.25">
      <c r="B13" s="32" t="str">
        <f>'Data Entry'!A13</f>
        <v>8. Cases Resulting in Probation Placement</v>
      </c>
      <c r="C13" s="33">
        <f>'Data Entry'!C13</f>
        <v>23</v>
      </c>
      <c r="D13" s="34">
        <f>IF(((AND(C70&gt;0,C13&gt;0))),(C13/(C70)),0)</f>
        <v>191.66666666666669</v>
      </c>
      <c r="E13" s="33">
        <f>'Data Entry'!F13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23</v>
      </c>
      <c r="Q13" s="42">
        <f>(C70*L70)-C13</f>
        <v>-11</v>
      </c>
      <c r="R13" s="42">
        <f t="shared" si="5"/>
        <v>12</v>
      </c>
      <c r="S13" s="30">
        <f t="shared" si="6"/>
        <v>0</v>
      </c>
      <c r="T13" s="30">
        <f t="shared" si="7"/>
        <v>0</v>
      </c>
      <c r="U13" s="31" t="str">
        <f t="shared" si="8"/>
        <v>- -</v>
      </c>
    </row>
    <row r="14" spans="2:21" ht="30.75" customHeight="1" x14ac:dyDescent="0.25">
      <c r="B14" s="32" t="str">
        <f>'Data Entry'!A14</f>
        <v xml:space="preserve">9. Cases Resulting in Confinement in Secure Juvenile Correctional Facilities </v>
      </c>
      <c r="C14" s="33">
        <f>'Data Entry'!C14</f>
        <v>4</v>
      </c>
      <c r="D14" s="34">
        <f>IF(((AND(C70&gt;0,C14&gt;0))), ((C14/(C70))),0)</f>
        <v>33.333333333333336</v>
      </c>
      <c r="E14" s="33">
        <f>'Data Entry'!F14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4</v>
      </c>
      <c r="Q14" s="42">
        <f>(C70*L70)-C14</f>
        <v>8</v>
      </c>
      <c r="R14" s="42">
        <f t="shared" si="5"/>
        <v>12</v>
      </c>
      <c r="S14" s="30">
        <f t="shared" si="6"/>
        <v>0</v>
      </c>
      <c r="T14" s="30">
        <f t="shared" si="7"/>
        <v>0</v>
      </c>
      <c r="U14" s="31" t="str">
        <f t="shared" si="8"/>
        <v>- -</v>
      </c>
    </row>
    <row r="15" spans="2:21" ht="15.75" customHeight="1" x14ac:dyDescent="0.25">
      <c r="B15" s="32" t="str">
        <f>'Data Entry'!A15</f>
        <v xml:space="preserve">10. Cases Transferred to Adult Court </v>
      </c>
      <c r="C15" s="33">
        <f>'Data Entry'!C15</f>
        <v>0</v>
      </c>
      <c r="D15" s="34">
        <f>IF(((AND(C69&gt;0,C15&gt;0))),((C15/(C69))),0)</f>
        <v>0</v>
      </c>
      <c r="E15" s="33">
        <f>'Data Entry'!F15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13</v>
      </c>
      <c r="R15" s="42">
        <f t="shared" si="5"/>
        <v>13</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26.25" customHeight="1" x14ac:dyDescent="0.25">
      <c r="B17" s="62"/>
      <c r="C17" s="62"/>
      <c r="D17" s="62"/>
      <c r="E17" s="62"/>
      <c r="F17" s="62"/>
      <c r="G17" s="62"/>
      <c r="H17" s="62"/>
      <c r="I17" s="62"/>
      <c r="K17" s="1" t="s">
        <v>92</v>
      </c>
      <c r="L17" s="1" t="s">
        <v>93</v>
      </c>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26.25" customHeight="1" x14ac:dyDescent="0.25">
      <c r="B24" s="62"/>
      <c r="C24" s="62"/>
      <c r="D24" s="62"/>
      <c r="E24" s="62"/>
      <c r="F24" s="62"/>
      <c r="G24" s="62"/>
      <c r="H24" s="62"/>
      <c r="I24" s="62"/>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referrals</v>
      </c>
      <c r="G29" s="52"/>
      <c r="H29" s="52"/>
      <c r="I29" s="52"/>
      <c r="J29" s="52"/>
      <c r="K29" s="52"/>
      <c r="L29" s="53"/>
      <c r="R29" s="49"/>
    </row>
    <row r="30" spans="2:21" ht="15" customHeight="1" x14ac:dyDescent="0.25">
      <c r="B30" s="52" t="s">
        <v>73</v>
      </c>
      <c r="C30" s="52"/>
      <c r="D30" s="52"/>
      <c r="E30" s="52"/>
      <c r="F30" s="52" t="str">
        <f>B68</f>
        <v>per 100 referrals</v>
      </c>
      <c r="G30" s="52"/>
      <c r="H30" s="52"/>
      <c r="I30" s="52"/>
      <c r="J30" s="52"/>
      <c r="K30" s="52"/>
      <c r="L30" s="53"/>
      <c r="N30" s="1" t="b">
        <f>ISNUMBER(J14)</f>
        <v>0</v>
      </c>
      <c r="R30" s="49"/>
    </row>
    <row r="31" spans="2:21" ht="15" customHeight="1" x14ac:dyDescent="0.25">
      <c r="B31" s="52" t="s">
        <v>74</v>
      </c>
      <c r="C31" s="52"/>
      <c r="D31" s="52"/>
      <c r="E31" s="52"/>
      <c r="F31" s="52" t="str">
        <f>B68</f>
        <v>per 100 referrals</v>
      </c>
      <c r="G31" s="52"/>
      <c r="H31" s="52"/>
      <c r="I31" s="52"/>
      <c r="J31" s="52"/>
      <c r="K31" s="52"/>
      <c r="L31" s="53"/>
      <c r="R31" s="49"/>
    </row>
    <row r="32" spans="2:21" ht="15" customHeight="1" x14ac:dyDescent="0.25">
      <c r="B32" s="52" t="s">
        <v>75</v>
      </c>
      <c r="C32" s="52"/>
      <c r="D32" s="52"/>
      <c r="E32" s="52"/>
      <c r="F32" s="52" t="str">
        <f>B69</f>
        <v>per 100 youth petitioned</v>
      </c>
      <c r="G32" s="52"/>
      <c r="H32" s="52"/>
      <c r="I32" s="52"/>
      <c r="J32" s="52"/>
      <c r="K32" s="52"/>
      <c r="L32" s="53"/>
      <c r="R32" s="49"/>
    </row>
    <row r="33" spans="2:18" ht="15" customHeight="1" x14ac:dyDescent="0.25">
      <c r="B33" s="52" t="s">
        <v>76</v>
      </c>
      <c r="C33" s="52"/>
      <c r="D33" s="52"/>
      <c r="E33" s="52"/>
      <c r="F33" s="52" t="str">
        <f>B70</f>
        <v>per 100 youth found delinquent</v>
      </c>
      <c r="G33" s="52"/>
      <c r="H33" s="52"/>
      <c r="I33" s="52"/>
      <c r="J33" s="52"/>
      <c r="K33" s="52"/>
      <c r="L33" s="53"/>
      <c r="R33" s="49"/>
    </row>
    <row r="34" spans="2:18" ht="15" customHeight="1" x14ac:dyDescent="0.25">
      <c r="B34" s="52" t="s">
        <v>77</v>
      </c>
      <c r="C34" s="52"/>
      <c r="D34" s="52"/>
      <c r="E34" s="52"/>
      <c r="F34" s="52" t="str">
        <f>B70</f>
        <v>per 100 youth found delinquent</v>
      </c>
      <c r="G34" s="52"/>
      <c r="H34" s="52"/>
      <c r="I34" s="52"/>
      <c r="J34" s="52"/>
      <c r="K34" s="52"/>
      <c r="L34" s="53"/>
      <c r="R34" s="49"/>
    </row>
    <row r="35" spans="2:18" ht="15" customHeight="1" x14ac:dyDescent="0.25">
      <c r="B35" s="52" t="s">
        <v>78</v>
      </c>
      <c r="C35" s="52"/>
      <c r="D35" s="52"/>
      <c r="E35" s="52"/>
      <c r="F35" s="52" t="str">
        <f>B69</f>
        <v>per 100 youth petitioned</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2.3570000000000002</v>
      </c>
      <c r="D42" s="56">
        <f>E6/1000</f>
        <v>2.7E-2</v>
      </c>
      <c r="E42" s="56">
        <f>MAX(C42:D42)</f>
        <v>2.3570000000000002</v>
      </c>
      <c r="G42" s="1" t="str">
        <f>B42</f>
        <v>per 1000 youth</v>
      </c>
      <c r="L42" s="57">
        <v>1000</v>
      </c>
      <c r="M42" s="57"/>
      <c r="R42" s="49"/>
    </row>
    <row r="43" spans="2:18" ht="15" hidden="1" customHeight="1" x14ac:dyDescent="0.25">
      <c r="B43" s="49" t="s">
        <v>87</v>
      </c>
      <c r="C43" s="56">
        <f>C7/100</f>
        <v>0.03</v>
      </c>
      <c r="D43" s="56">
        <f>E7/100</f>
        <v>0</v>
      </c>
      <c r="E43" s="56">
        <f>MAX(C43:D43,0)</f>
        <v>0.03</v>
      </c>
      <c r="G43" s="1" t="str">
        <f>B43</f>
        <v>per 100 arrests</v>
      </c>
      <c r="L43" s="57">
        <v>100</v>
      </c>
      <c r="M43" s="57"/>
      <c r="R43" s="49"/>
    </row>
    <row r="44" spans="2:18" ht="15" hidden="1" customHeight="1" x14ac:dyDescent="0.25">
      <c r="B44" s="49" t="s">
        <v>88</v>
      </c>
      <c r="C44" s="56">
        <f>C8/100</f>
        <v>0.27</v>
      </c>
      <c r="D44" s="56">
        <f>E8/100</f>
        <v>0</v>
      </c>
      <c r="E44" s="56">
        <f>MAX(C44:D44,0)</f>
        <v>0.27</v>
      </c>
      <c r="G44" s="1" t="str">
        <f>B44</f>
        <v>per 100 referrals</v>
      </c>
      <c r="L44" s="57">
        <v>100</v>
      </c>
      <c r="M44" s="57"/>
      <c r="R44" s="49"/>
    </row>
    <row r="45" spans="2:18" ht="15" hidden="1" customHeight="1" x14ac:dyDescent="0.25">
      <c r="B45" s="49" t="s">
        <v>89</v>
      </c>
      <c r="C45" s="49">
        <f>C11/100</f>
        <v>0.13</v>
      </c>
      <c r="D45" s="49">
        <f>E11/100</f>
        <v>0</v>
      </c>
      <c r="E45" s="56">
        <f>MAX(C45:D45,0)</f>
        <v>0.13</v>
      </c>
      <c r="G45" s="1" t="str">
        <f>B45</f>
        <v>per 100 youth petitioned</v>
      </c>
      <c r="L45" s="57">
        <v>100</v>
      </c>
      <c r="M45" s="57"/>
      <c r="R45" s="49"/>
    </row>
    <row r="46" spans="2:18" ht="15" hidden="1" customHeight="1" x14ac:dyDescent="0.25">
      <c r="B46" s="49" t="s">
        <v>90</v>
      </c>
      <c r="C46" s="49">
        <f>C12/100</f>
        <v>0.12</v>
      </c>
      <c r="D46" s="49">
        <f>E12/100</f>
        <v>0</v>
      </c>
      <c r="E46" s="56">
        <f>MAX(C46:D46)</f>
        <v>0.12</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2.3570000000000002</v>
      </c>
      <c r="D48" s="56">
        <f>D42</f>
        <v>2.7E-2</v>
      </c>
      <c r="E48" s="56">
        <f>MAX(C48:D48)</f>
        <v>2.3570000000000002</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 t="shared" si="9"/>
        <v>0.03</v>
      </c>
      <c r="D49" s="49">
        <f t="shared" si="9"/>
        <v>0</v>
      </c>
      <c r="E49" s="49">
        <f>MAX(C49:D49)</f>
        <v>0.03</v>
      </c>
      <c r="G49" s="1" t="str">
        <f>G43</f>
        <v>per 100 arrests</v>
      </c>
      <c r="L49" s="58">
        <f>IF(($E43&gt;0),L43,L42)</f>
        <v>100</v>
      </c>
      <c r="M49" s="58"/>
      <c r="N49" s="21"/>
      <c r="O49" s="21"/>
      <c r="P49" s="21"/>
      <c r="Q49" s="21"/>
      <c r="R49" s="21"/>
    </row>
    <row r="50" spans="2:18" ht="15" hidden="1" customHeight="1" x14ac:dyDescent="0.25">
      <c r="B50" s="49" t="str">
        <f t="shared" si="9"/>
        <v>per 100 referrals</v>
      </c>
      <c r="C50" s="49">
        <f t="shared" si="9"/>
        <v>0.27</v>
      </c>
      <c r="D50" s="49">
        <f t="shared" si="9"/>
        <v>0</v>
      </c>
      <c r="E50" s="49">
        <f>MAX(C50:D50)</f>
        <v>0.27</v>
      </c>
      <c r="G50" s="1" t="str">
        <f>G44</f>
        <v>per 100 referrals</v>
      </c>
      <c r="L50" s="58">
        <f>IF(($E44&gt;0),L44,L43)</f>
        <v>100</v>
      </c>
      <c r="M50" s="58"/>
      <c r="N50" s="21"/>
      <c r="O50" s="21"/>
      <c r="P50" s="21"/>
      <c r="Q50" s="21"/>
      <c r="R50" s="21"/>
    </row>
    <row r="51" spans="2:18" ht="15" hidden="1" customHeight="1" x14ac:dyDescent="0.25">
      <c r="B51" s="49" t="str">
        <f>IF(($E45&gt;0),B45,B43)</f>
        <v>per 100 youth petitioned</v>
      </c>
      <c r="C51" s="49">
        <f>IF(($E45&gt;0),C45,C44)</f>
        <v>0.13</v>
      </c>
      <c r="D51" s="49">
        <f>IF(($E45&gt;0),D45,D44)</f>
        <v>0</v>
      </c>
      <c r="E51" s="49">
        <f>MAX(C51:D51)</f>
        <v>0.13</v>
      </c>
      <c r="G51" s="1" t="str">
        <f>G45</f>
        <v>per 100 youth petitioned</v>
      </c>
      <c r="L51" s="58">
        <f>IF(($E45&gt;0),L45,L44)</f>
        <v>100</v>
      </c>
      <c r="M51" s="58"/>
    </row>
    <row r="52" spans="2:18" ht="15" hidden="1" customHeight="1" x14ac:dyDescent="0.25">
      <c r="B52" s="49" t="str">
        <f>IF(($E46&gt;0),B46,B45)</f>
        <v>per 100 youth found delinquent</v>
      </c>
      <c r="C52" s="49">
        <f>IF(($E46&gt;0),C46,C45)</f>
        <v>0.12</v>
      </c>
      <c r="D52" s="49">
        <f>IF(($E46&gt;0),D46,D45)</f>
        <v>0</v>
      </c>
      <c r="E52" s="56">
        <f>MAX(C52:D52)</f>
        <v>0.12</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2.3570000000000002</v>
      </c>
      <c r="D54" s="56">
        <f>D48</f>
        <v>2.7E-2</v>
      </c>
      <c r="E54" s="56">
        <f>MAX(C54:D54)</f>
        <v>2.3570000000000002</v>
      </c>
      <c r="G54" s="1" t="str">
        <f>G48</f>
        <v>per 1000 youth</v>
      </c>
      <c r="L54" s="58">
        <f>L48</f>
        <v>1000</v>
      </c>
      <c r="M54" s="58"/>
    </row>
    <row r="55" spans="2:18" ht="15" hidden="1" customHeight="1" x14ac:dyDescent="0.25">
      <c r="B55" s="49" t="str">
        <f t="shared" ref="B55:D56" si="10">IF(($E49&gt;0),B49,B48)</f>
        <v>per 100 arrests</v>
      </c>
      <c r="C55" s="49">
        <f t="shared" si="10"/>
        <v>0.03</v>
      </c>
      <c r="D55" s="49">
        <f t="shared" si="10"/>
        <v>0</v>
      </c>
      <c r="E55" s="49">
        <f>MAX(C55:D55)</f>
        <v>0.03</v>
      </c>
      <c r="G55" s="1" t="str">
        <f>G49</f>
        <v>per 100 arrests</v>
      </c>
      <c r="L55" s="58">
        <f>IF(($E49&gt;0),L49,L48)</f>
        <v>100</v>
      </c>
      <c r="M55" s="58"/>
    </row>
    <row r="56" spans="2:18" ht="15" hidden="1" customHeight="1" x14ac:dyDescent="0.25">
      <c r="B56" s="49" t="str">
        <f t="shared" si="10"/>
        <v>per 100 referrals</v>
      </c>
      <c r="C56" s="49">
        <f t="shared" si="10"/>
        <v>0.27</v>
      </c>
      <c r="D56" s="49">
        <f t="shared" si="10"/>
        <v>0</v>
      </c>
      <c r="E56" s="49">
        <f>MAX(C56:D56)</f>
        <v>0.27</v>
      </c>
      <c r="G56" s="1" t="str">
        <f>G50</f>
        <v>per 100 referrals</v>
      </c>
      <c r="L56" s="58">
        <f>IF(($E50&gt;0),L50,L49)</f>
        <v>100</v>
      </c>
      <c r="M56" s="58"/>
    </row>
    <row r="57" spans="2:18" ht="15" hidden="1" customHeight="1" x14ac:dyDescent="0.25">
      <c r="B57" s="49" t="str">
        <f>IF(($E51&gt;0),B51,B49)</f>
        <v>per 100 youth petitioned</v>
      </c>
      <c r="C57" s="49">
        <f>IF(($E51&gt;0),C51,C50)</f>
        <v>0.13</v>
      </c>
      <c r="D57" s="49">
        <f>IF(($E51&gt;0),D51,D50)</f>
        <v>0</v>
      </c>
      <c r="E57" s="49">
        <f>MAX(C57:D57)</f>
        <v>0.13</v>
      </c>
      <c r="G57" s="1" t="str">
        <f>G51</f>
        <v>per 100 youth petitioned</v>
      </c>
      <c r="L57" s="58">
        <f>IF(($E51&gt;0),L51,L50)</f>
        <v>100</v>
      </c>
      <c r="M57" s="58"/>
    </row>
    <row r="58" spans="2:18" ht="15" hidden="1" customHeight="1" x14ac:dyDescent="0.25">
      <c r="B58" s="49" t="str">
        <f>IF(($E52&gt;0),B52,B51)</f>
        <v>per 100 youth found delinquent</v>
      </c>
      <c r="C58" s="49">
        <f>IF(($E52&gt;0),C52,C51)</f>
        <v>0.12</v>
      </c>
      <c r="D58" s="49">
        <f>IF(($E52&gt;0),D52,D51)</f>
        <v>0</v>
      </c>
      <c r="E58" s="56">
        <f>MAX(C58:D58)</f>
        <v>0.12</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2.3570000000000002</v>
      </c>
      <c r="D60" s="56">
        <f>D54</f>
        <v>2.7E-2</v>
      </c>
      <c r="E60" s="56">
        <f>MAX(C60:D60)</f>
        <v>2.3570000000000002</v>
      </c>
      <c r="G60" s="1" t="str">
        <f>G54</f>
        <v>per 1000 youth</v>
      </c>
      <c r="L60" s="58">
        <f>L54</f>
        <v>1000</v>
      </c>
      <c r="M60" s="58"/>
    </row>
    <row r="61" spans="2:18" ht="15" hidden="1" customHeight="1" x14ac:dyDescent="0.25">
      <c r="B61" s="49" t="str">
        <f t="shared" ref="B61:D62" si="11">IF(($E55&gt;0),B55,B54)</f>
        <v>per 100 arrests</v>
      </c>
      <c r="C61" s="49">
        <f t="shared" si="11"/>
        <v>0.03</v>
      </c>
      <c r="D61" s="49">
        <f t="shared" si="11"/>
        <v>0</v>
      </c>
      <c r="E61" s="49">
        <f>MAX(C61:D61)</f>
        <v>0.03</v>
      </c>
      <c r="G61" s="1" t="str">
        <f>G55</f>
        <v>per 100 arrests</v>
      </c>
      <c r="L61" s="58">
        <f>IF(($E55&gt;0),L55,L54)</f>
        <v>100</v>
      </c>
      <c r="M61" s="58"/>
    </row>
    <row r="62" spans="2:18" ht="15" hidden="1" customHeight="1" x14ac:dyDescent="0.25">
      <c r="B62" s="49" t="str">
        <f t="shared" si="11"/>
        <v>per 100 referrals</v>
      </c>
      <c r="C62" s="49">
        <f t="shared" si="11"/>
        <v>0.27</v>
      </c>
      <c r="D62" s="49">
        <f t="shared" si="11"/>
        <v>0</v>
      </c>
      <c r="E62" s="49">
        <f>MAX(C62:D62)</f>
        <v>0.27</v>
      </c>
      <c r="G62" s="1" t="str">
        <f>G56</f>
        <v>per 100 referrals</v>
      </c>
      <c r="L62" s="58">
        <f>IF(($E56&gt;0),L56,L55)</f>
        <v>100</v>
      </c>
      <c r="M62" s="58"/>
    </row>
    <row r="63" spans="2:18" ht="15" hidden="1" customHeight="1" x14ac:dyDescent="0.25">
      <c r="B63" s="49" t="str">
        <f>IF(($E57&gt;0),B57,B55)</f>
        <v>per 100 youth petitioned</v>
      </c>
      <c r="C63" s="49">
        <f>IF(($E57&gt;0),C57,C56)</f>
        <v>0.13</v>
      </c>
      <c r="D63" s="49">
        <f>IF(($E57&gt;0),D57,D56)</f>
        <v>0</v>
      </c>
      <c r="E63" s="49">
        <f>MAX(C63:D63)</f>
        <v>0.13</v>
      </c>
      <c r="G63" s="1" t="str">
        <f>G57</f>
        <v>per 100 youth petitioned</v>
      </c>
      <c r="L63" s="58">
        <f>IF(($E57&gt;0),L57,L56)</f>
        <v>100</v>
      </c>
      <c r="M63" s="58"/>
    </row>
    <row r="64" spans="2:18" ht="15" hidden="1" customHeight="1" x14ac:dyDescent="0.25">
      <c r="B64" s="49" t="str">
        <f>IF(($E58&gt;0),B58,B57)</f>
        <v>per 100 youth found delinquent</v>
      </c>
      <c r="C64" s="49">
        <f>IF(($E58&gt;0),C58,C57)</f>
        <v>0.12</v>
      </c>
      <c r="D64" s="49">
        <f>IF(($E58&gt;0),D58,D57)</f>
        <v>0</v>
      </c>
      <c r="E64" s="56">
        <f>MAX(C64:D64)</f>
        <v>0.12</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2.3570000000000002</v>
      </c>
      <c r="D66" s="56">
        <f>D60</f>
        <v>2.7E-2</v>
      </c>
      <c r="E66" s="56">
        <f>MAX(C66:D66)</f>
        <v>2.3570000000000002</v>
      </c>
      <c r="G66" s="1" t="str">
        <f>G60</f>
        <v>per 1000 youth</v>
      </c>
      <c r="L66" s="58">
        <f>L60</f>
        <v>1000</v>
      </c>
      <c r="M66" s="58">
        <f>IF((B66=G66),1,2)</f>
        <v>1</v>
      </c>
    </row>
    <row r="67" spans="2:13" ht="15" hidden="1" customHeight="1" x14ac:dyDescent="0.25">
      <c r="B67" s="49" t="str">
        <f t="shared" ref="B67:D68" si="12">IF(($E61&gt;0),B61,B60)</f>
        <v>per 100 arrests</v>
      </c>
      <c r="C67" s="49">
        <f t="shared" si="12"/>
        <v>0.03</v>
      </c>
      <c r="D67" s="49">
        <f t="shared" si="12"/>
        <v>0</v>
      </c>
      <c r="E67" s="49">
        <f>MAX(C67:D67)</f>
        <v>0.03</v>
      </c>
      <c r="G67" s="1" t="str">
        <f>G61</f>
        <v>per 100 arrests</v>
      </c>
      <c r="L67" s="58">
        <f>IF(($E61&gt;0),L61,L60)</f>
        <v>100</v>
      </c>
      <c r="M67" s="58">
        <f>IF((B67=G67),1,2)</f>
        <v>1</v>
      </c>
    </row>
    <row r="68" spans="2:13" ht="15" hidden="1" customHeight="1" x14ac:dyDescent="0.25">
      <c r="B68" s="49" t="str">
        <f t="shared" si="12"/>
        <v>per 100 referrals</v>
      </c>
      <c r="C68" s="49">
        <f t="shared" si="12"/>
        <v>0.27</v>
      </c>
      <c r="D68" s="49">
        <f t="shared" si="12"/>
        <v>0</v>
      </c>
      <c r="E68" s="49">
        <f>MAX(C68:D68)</f>
        <v>0.27</v>
      </c>
      <c r="G68" s="1" t="str">
        <f>G62</f>
        <v>per 100 referrals</v>
      </c>
      <c r="L68" s="58">
        <f>IF(($E62&gt;0),L62,L61)</f>
        <v>100</v>
      </c>
      <c r="M68" s="58">
        <f>IF((B68=G68),1,2)</f>
        <v>1</v>
      </c>
    </row>
    <row r="69" spans="2:13" ht="15" hidden="1" customHeight="1" x14ac:dyDescent="0.25">
      <c r="B69" s="49" t="str">
        <f>IF(($E63&gt;0),B63,B61)</f>
        <v>per 100 youth petitioned</v>
      </c>
      <c r="C69" s="49">
        <f>IF(($E63&gt;0),C63,C62)</f>
        <v>0.13</v>
      </c>
      <c r="D69" s="49">
        <f>IF(($E63&gt;0),D63,D62)</f>
        <v>0</v>
      </c>
      <c r="E69" s="49">
        <f>MAX(C69:D69)</f>
        <v>0.13</v>
      </c>
      <c r="G69" s="1" t="str">
        <f>G63</f>
        <v>per 100 youth petitioned</v>
      </c>
      <c r="L69" s="58">
        <f>IF(($E63&gt;0),L63,L62)</f>
        <v>100</v>
      </c>
      <c r="M69" s="58">
        <f>IF((B69=G69),1,2)</f>
        <v>1</v>
      </c>
    </row>
    <row r="70" spans="2:13" ht="15" hidden="1" customHeight="1" x14ac:dyDescent="0.25">
      <c r="B70" s="49" t="str">
        <f>IF(($E64&gt;0),B64,B63)</f>
        <v>per 100 youth found delinquent</v>
      </c>
      <c r="C70" s="49">
        <f>IF(($E64&gt;0),C64,C63)</f>
        <v>0.12</v>
      </c>
      <c r="D70" s="49">
        <f>IF(($E64&gt;0),D64,D63)</f>
        <v>0</v>
      </c>
      <c r="E70" s="56">
        <f>MAX(C70:D70)</f>
        <v>0.12</v>
      </c>
      <c r="G70" s="1" t="str">
        <f>G64</f>
        <v>per 100 youth found delinquent</v>
      </c>
      <c r="L70" s="58">
        <f>IF(($E64&gt;0),L64,L63)</f>
        <v>100</v>
      </c>
      <c r="M70" s="58">
        <f>IF((B70=G70),1,2)</f>
        <v>1</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G7:G15">
    <cfRule type="expression" dxfId="77" priority="1" stopIfTrue="1">
      <formula>$L7=1</formula>
    </cfRule>
    <cfRule type="expression" dxfId="76" priority="2" stopIfTrue="1">
      <formula>$L7=2</formula>
    </cfRule>
    <cfRule type="expression" dxfId="75" priority="3" stopIfTrue="1">
      <formula>$L7&gt;3</formula>
    </cfRule>
  </conditionalFormatting>
  <conditionalFormatting sqref="B86">
    <cfRule type="expression" dxfId="74" priority="4" stopIfTrue="1">
      <formula>$D$83= 2</formula>
    </cfRule>
  </conditionalFormatting>
  <conditionalFormatting sqref="F28">
    <cfRule type="expression" dxfId="73" priority="5" stopIfTrue="1">
      <formula>M67=2</formula>
    </cfRule>
  </conditionalFormatting>
  <conditionalFormatting sqref="F27">
    <cfRule type="expression" dxfId="72" priority="6" stopIfTrue="1">
      <formula>M66=2</formula>
    </cfRule>
  </conditionalFormatting>
  <conditionalFormatting sqref="F29">
    <cfRule type="expression" dxfId="71" priority="7" stopIfTrue="1">
      <formula>M68 = 2</formula>
    </cfRule>
  </conditionalFormatting>
  <conditionalFormatting sqref="F30">
    <cfRule type="expression" dxfId="70" priority="8" stopIfTrue="1">
      <formula>M68 = 2</formula>
    </cfRule>
  </conditionalFormatting>
  <conditionalFormatting sqref="F31">
    <cfRule type="expression" dxfId="69" priority="9" stopIfTrue="1">
      <formula>M68 = 2</formula>
    </cfRule>
  </conditionalFormatting>
  <conditionalFormatting sqref="F32:F33">
    <cfRule type="expression" dxfId="68" priority="10" stopIfTrue="1">
      <formula>M69=2</formula>
    </cfRule>
  </conditionalFormatting>
  <conditionalFormatting sqref="F34">
    <cfRule type="expression" dxfId="67" priority="11" stopIfTrue="1">
      <formula>M70 = 2</formula>
    </cfRule>
  </conditionalFormatting>
  <conditionalFormatting sqref="F35">
    <cfRule type="expression" dxfId="66" priority="12" stopIfTrue="1">
      <formula>M69=2</formula>
    </cfRule>
  </conditionalFormatting>
  <pageMargins left="0.53" right="0.42" top="0.75" bottom="0.5" header="0" footer="0"/>
  <pageSetup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autoPageBreaks="0"/>
  </sheetPr>
  <dimension ref="A1:U83"/>
  <sheetViews>
    <sheetView showGridLines="0" showRowColHeaders="0"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5.285156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s>
  <sheetData>
    <row r="1" spans="2:21" ht="27.75" customHeight="1" x14ac:dyDescent="0.25">
      <c r="B1" s="16" t="s">
        <v>29</v>
      </c>
      <c r="D1" s="20" t="s">
        <v>30</v>
      </c>
      <c r="E1" s="14"/>
      <c r="F1" s="219" t="str">
        <f>'Data Entry'!E5</f>
        <v>Hispanic or Latino</v>
      </c>
      <c r="G1" s="219"/>
      <c r="H1" s="219"/>
      <c r="I1" s="219"/>
      <c r="J1" s="219"/>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Emmet</v>
      </c>
      <c r="C3" s="22"/>
      <c r="D3" s="22"/>
      <c r="E3" s="22"/>
      <c r="F3" s="22"/>
      <c r="G3" s="7"/>
      <c r="H3" s="7"/>
      <c r="I3" s="7"/>
      <c r="J3" s="7"/>
      <c r="K3" s="7"/>
      <c r="N3" s="218" t="s">
        <v>31</v>
      </c>
      <c r="O3" s="218"/>
      <c r="P3" s="218"/>
      <c r="Q3" s="218"/>
      <c r="R3" s="218"/>
      <c r="S3" s="218"/>
      <c r="T3" s="218"/>
      <c r="U3" s="218"/>
    </row>
    <row r="4" spans="2:21" ht="24.7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2357</v>
      </c>
      <c r="D6" s="34"/>
      <c r="E6" s="33">
        <f>'Data Entry'!E6</f>
        <v>72</v>
      </c>
      <c r="F6" s="34"/>
      <c r="G6" s="35"/>
      <c r="H6" s="36"/>
      <c r="I6" s="37"/>
      <c r="J6" s="38"/>
      <c r="K6" s="37"/>
      <c r="L6" s="1">
        <f>IF( ('Data Entry'!E6&gt;('Data Entry'!B6/100)),1,100)</f>
        <v>1</v>
      </c>
      <c r="M6" s="1" t="s">
        <v>50</v>
      </c>
      <c r="N6" s="21"/>
      <c r="O6" s="21"/>
      <c r="P6" s="21"/>
      <c r="Q6" s="21"/>
      <c r="R6" s="21"/>
      <c r="S6" s="30"/>
      <c r="T6" s="30"/>
      <c r="U6" s="31"/>
    </row>
    <row r="7" spans="2:21" ht="18" customHeight="1" x14ac:dyDescent="0.25">
      <c r="B7" s="32" t="str">
        <f>'Data Entry'!A7</f>
        <v xml:space="preserve">2. Juvenile Arrests </v>
      </c>
      <c r="C7" s="33">
        <f>'Data Entry'!C7</f>
        <v>3</v>
      </c>
      <c r="D7" s="34">
        <f>IF((AND(C66&gt;0,C7&gt;0)),(C7/C66),0)</f>
        <v>1.2728044123886295</v>
      </c>
      <c r="E7" s="33">
        <f>'Data Entry'!E7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0</v>
      </c>
      <c r="O7" s="42">
        <f>E6-E7</f>
        <v>72</v>
      </c>
      <c r="P7" s="42">
        <f t="shared" ref="P7:P15" si="4">C7</f>
        <v>3</v>
      </c>
      <c r="Q7" s="42">
        <f>C6-C7</f>
        <v>2354</v>
      </c>
      <c r="R7" s="42">
        <f t="shared" ref="R7:R15" si="5">SUM(N7:Q7)</f>
        <v>2429</v>
      </c>
      <c r="S7" s="30">
        <f t="shared" ref="S7:S15" si="6">R7*((((N7*Q7)-(O7*P7))^2))</f>
        <v>113327424</v>
      </c>
      <c r="T7" s="30">
        <f t="shared" ref="T7:T15" si="7">(N7+O7)*(P7+Q7)*(N7+P7)*(O7+Q7)</f>
        <v>1235105712</v>
      </c>
      <c r="U7" s="31">
        <f t="shared" ref="U7:U15" si="8">IF((S7&gt;0),S7/T7,"- -")</f>
        <v>9.1755242404708434E-2</v>
      </c>
    </row>
    <row r="8" spans="2:21" ht="18" customHeight="1" x14ac:dyDescent="0.25">
      <c r="B8" s="32" t="str">
        <f>'Data Entry'!A8</f>
        <v>3. Refer to Juvenile Court</v>
      </c>
      <c r="C8" s="33">
        <f>'Data Entry'!C8</f>
        <v>27</v>
      </c>
      <c r="D8" s="34">
        <f>IF((AND(C67&gt;0,C8&gt;0)),(C8/C67),0)</f>
        <v>900</v>
      </c>
      <c r="E8" s="33">
        <f>'Data Entry'!E8</f>
        <v>0</v>
      </c>
      <c r="F8" s="34">
        <f>IF((AND($E$8&gt;0,$D$67&gt;0)),($E8/$D67),0)</f>
        <v>0</v>
      </c>
      <c r="G8" s="39" t="str">
        <f t="shared" si="0"/>
        <v>**</v>
      </c>
      <c r="H8" s="40"/>
      <c r="I8" s="41"/>
      <c r="J8" s="40">
        <f>IF((ABS($U8)&gt;Defaults!D$7),1,2)</f>
        <v>2</v>
      </c>
      <c r="K8" s="39">
        <f>IF((AND(N8&gt;Defaults!B$12,(N8+O8)&gt;Defaults!B$13, P8 &gt; Defaults!B$12, (P8+Q8) &gt; Defaults!B$13)),1,20)</f>
        <v>20</v>
      </c>
      <c r="L8" s="1">
        <f t="shared" si="1"/>
        <v>40</v>
      </c>
      <c r="M8" s="1" t="b">
        <f t="shared" si="2"/>
        <v>1</v>
      </c>
      <c r="N8" s="42">
        <f t="shared" si="3"/>
        <v>0</v>
      </c>
      <c r="O8" s="42">
        <f>((D67*L67)-E8)+0.05</f>
        <v>0.05</v>
      </c>
      <c r="P8" s="42">
        <f t="shared" si="4"/>
        <v>27</v>
      </c>
      <c r="Q8" s="42">
        <f>(C$67*L67)-C8</f>
        <v>-24</v>
      </c>
      <c r="R8" s="42">
        <f t="shared" si="5"/>
        <v>3.0500000000000007</v>
      </c>
      <c r="S8" s="30">
        <f t="shared" si="6"/>
        <v>5.5586250000000019</v>
      </c>
      <c r="T8" s="30">
        <f t="shared" si="7"/>
        <v>-96.997500000000016</v>
      </c>
      <c r="U8" s="31">
        <f t="shared" si="8"/>
        <v>-5.7306889352818378E-2</v>
      </c>
    </row>
    <row r="9" spans="2:21" ht="18" customHeight="1" x14ac:dyDescent="0.25">
      <c r="B9" s="32" t="str">
        <f>'Data Entry'!A9</f>
        <v xml:space="preserve">4. Cases Diverted </v>
      </c>
      <c r="C9" s="33">
        <f>'Data Entry'!C9</f>
        <v>1</v>
      </c>
      <c r="D9" s="34">
        <f>IF((AND(C68&gt;0,C9&gt;0)),((C9/C68)),0)</f>
        <v>3.7037037037037033</v>
      </c>
      <c r="E9" s="33">
        <f>'Data Entry'!E9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1</v>
      </c>
      <c r="Q9" s="42">
        <f>(C$68*L68)-C9</f>
        <v>26</v>
      </c>
      <c r="R9" s="42">
        <f t="shared" si="5"/>
        <v>27</v>
      </c>
      <c r="S9" s="30">
        <f t="shared" si="6"/>
        <v>0</v>
      </c>
      <c r="T9" s="30">
        <f t="shared" si="7"/>
        <v>0</v>
      </c>
      <c r="U9" s="31" t="str">
        <f t="shared" si="8"/>
        <v>- -</v>
      </c>
    </row>
    <row r="10" spans="2:21" ht="18" customHeight="1" x14ac:dyDescent="0.25">
      <c r="B10" s="32" t="str">
        <f>'Data Entry'!A10</f>
        <v>5. Cases Involving Secure Detention</v>
      </c>
      <c r="C10" s="33">
        <f>'Data Entry'!C10</f>
        <v>2</v>
      </c>
      <c r="D10" s="34">
        <f>IF(((AND(C68&gt;0,C10&gt;0))),(C10/(C68)),0)</f>
        <v>7.4074074074074066</v>
      </c>
      <c r="E10" s="33">
        <f>'Data Entry'!E10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2</v>
      </c>
      <c r="Q10" s="42">
        <f>(C$68*L68)-C10</f>
        <v>25</v>
      </c>
      <c r="R10" s="42">
        <f t="shared" si="5"/>
        <v>27</v>
      </c>
      <c r="S10" s="30">
        <f t="shared" si="6"/>
        <v>0</v>
      </c>
      <c r="T10" s="30">
        <f t="shared" si="7"/>
        <v>0</v>
      </c>
      <c r="U10" s="31" t="str">
        <f t="shared" si="8"/>
        <v>- -</v>
      </c>
    </row>
    <row r="11" spans="2:21" ht="18" customHeight="1" x14ac:dyDescent="0.25">
      <c r="B11" s="32" t="str">
        <f>'Data Entry'!A11</f>
        <v>6. Cases Petitioned (Charge Filed)</v>
      </c>
      <c r="C11" s="33">
        <f>'Data Entry'!C11</f>
        <v>13</v>
      </c>
      <c r="D11" s="34">
        <f>IF(((AND(C68&gt;0,C11&gt;0))),(C11/(C68)),0)</f>
        <v>48.148148148148145</v>
      </c>
      <c r="E11" s="33">
        <f>'Data Entry'!E11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13</v>
      </c>
      <c r="Q11" s="42">
        <f>(C$68*L68)-C11</f>
        <v>14</v>
      </c>
      <c r="R11" s="42">
        <f t="shared" si="5"/>
        <v>27</v>
      </c>
      <c r="S11" s="30">
        <f t="shared" si="6"/>
        <v>0</v>
      </c>
      <c r="T11" s="30">
        <f t="shared" si="7"/>
        <v>0</v>
      </c>
      <c r="U11" s="31" t="str">
        <f t="shared" si="8"/>
        <v>- -</v>
      </c>
    </row>
    <row r="12" spans="2:21" ht="18" customHeight="1" x14ac:dyDescent="0.25">
      <c r="B12" s="32" t="str">
        <f>'Data Entry'!A12</f>
        <v>7. Cases Resulting in Delinquent Findings</v>
      </c>
      <c r="C12" s="33">
        <f>'Data Entry'!C12</f>
        <v>12</v>
      </c>
      <c r="D12" s="34">
        <f>IF(((AND(C69&gt;0,C12&gt;0))),(C12/(C69)),0)</f>
        <v>92.307692307692307</v>
      </c>
      <c r="E12" s="33">
        <f>'Data Entry'!E12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12</v>
      </c>
      <c r="Q12" s="42">
        <f>(C69*L69)-C12</f>
        <v>1</v>
      </c>
      <c r="R12" s="42">
        <f t="shared" si="5"/>
        <v>13</v>
      </c>
      <c r="S12" s="30">
        <f t="shared" si="6"/>
        <v>0</v>
      </c>
      <c r="T12" s="30">
        <f t="shared" si="7"/>
        <v>0</v>
      </c>
      <c r="U12" s="31" t="str">
        <f t="shared" si="8"/>
        <v>- -</v>
      </c>
    </row>
    <row r="13" spans="2:21" ht="18" customHeight="1" x14ac:dyDescent="0.25">
      <c r="B13" s="32" t="str">
        <f>'Data Entry'!A13</f>
        <v>8. Cases Resulting in Probation Placement</v>
      </c>
      <c r="C13" s="33">
        <f>'Data Entry'!C13</f>
        <v>23</v>
      </c>
      <c r="D13" s="34">
        <f>IF(((AND(C70&gt;0,C13&gt;0))),(C13/(C70)),0)</f>
        <v>191.66666666666669</v>
      </c>
      <c r="E13" s="33">
        <f>'Data Entry'!E13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23</v>
      </c>
      <c r="Q13" s="42">
        <f>(C70*L70)-C13</f>
        <v>-11</v>
      </c>
      <c r="R13" s="42">
        <f t="shared" si="5"/>
        <v>12</v>
      </c>
      <c r="S13" s="30">
        <f t="shared" si="6"/>
        <v>0</v>
      </c>
      <c r="T13" s="30">
        <f t="shared" si="7"/>
        <v>0</v>
      </c>
      <c r="U13" s="31" t="str">
        <f t="shared" si="8"/>
        <v>- -</v>
      </c>
    </row>
    <row r="14" spans="2:21" ht="30.75" customHeight="1" x14ac:dyDescent="0.25">
      <c r="B14" s="32" t="str">
        <f>'Data Entry'!A14</f>
        <v xml:space="preserve">9. Cases Resulting in Confinement in Secure Juvenile Correctional Facilities </v>
      </c>
      <c r="C14" s="33">
        <f>'Data Entry'!C14</f>
        <v>4</v>
      </c>
      <c r="D14" s="34">
        <f>IF(((AND(C70&gt;0,C14&gt;0))), ((C14/(C70))),0)</f>
        <v>33.333333333333336</v>
      </c>
      <c r="E14" s="33">
        <f>'Data Entry'!E14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4</v>
      </c>
      <c r="Q14" s="42">
        <f>(C70*L70)-C14</f>
        <v>8</v>
      </c>
      <c r="R14" s="42">
        <f t="shared" si="5"/>
        <v>12</v>
      </c>
      <c r="S14" s="30">
        <f t="shared" si="6"/>
        <v>0</v>
      </c>
      <c r="T14" s="30">
        <f t="shared" si="7"/>
        <v>0</v>
      </c>
      <c r="U14" s="31" t="str">
        <f t="shared" si="8"/>
        <v>- -</v>
      </c>
    </row>
    <row r="15" spans="2:21" ht="15.75" customHeight="1" x14ac:dyDescent="0.25">
      <c r="B15" s="32" t="str">
        <f>'Data Entry'!A15</f>
        <v xml:space="preserve">10. Cases Transferred to Adult Court </v>
      </c>
      <c r="C15" s="33">
        <f>'Data Entry'!C15</f>
        <v>0</v>
      </c>
      <c r="D15" s="34">
        <f>IF(((AND(C69&gt;0,C15&gt;0))),((C15/(C69))),0)</f>
        <v>0</v>
      </c>
      <c r="E15" s="33">
        <f>'Data Entry'!E15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13</v>
      </c>
      <c r="R15" s="42">
        <f t="shared" si="5"/>
        <v>13</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12" customHeight="1" x14ac:dyDescent="0.25">
      <c r="B17" s="43"/>
      <c r="C17" s="44"/>
      <c r="D17" s="44"/>
      <c r="E17" s="44"/>
      <c r="F17" s="44"/>
      <c r="G17" s="44"/>
      <c r="H17" s="44"/>
      <c r="I17" s="44"/>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11.25" customHeight="1" x14ac:dyDescent="0.25">
      <c r="B24" s="62"/>
      <c r="C24" s="62"/>
      <c r="D24" s="62"/>
      <c r="E24" s="62"/>
      <c r="F24" s="62"/>
      <c r="G24" s="62"/>
      <c r="H24" s="62"/>
      <c r="I24" s="62"/>
      <c r="K24" s="1" t="s">
        <v>92</v>
      </c>
      <c r="L24" s="1" t="s">
        <v>93</v>
      </c>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referrals</v>
      </c>
      <c r="G29" s="52"/>
      <c r="H29" s="52"/>
      <c r="I29" s="52"/>
      <c r="J29" s="52"/>
      <c r="K29" s="52"/>
      <c r="L29" s="53"/>
      <c r="R29" s="49"/>
    </row>
    <row r="30" spans="2:21" ht="15" customHeight="1" x14ac:dyDescent="0.25">
      <c r="B30" s="52" t="s">
        <v>73</v>
      </c>
      <c r="C30" s="52"/>
      <c r="D30" s="52"/>
      <c r="E30" s="52"/>
      <c r="F30" s="52" t="str">
        <f>B68</f>
        <v>per 100 referrals</v>
      </c>
      <c r="G30" s="52"/>
      <c r="H30" s="52"/>
      <c r="I30" s="52"/>
      <c r="J30" s="52"/>
      <c r="K30" s="52"/>
      <c r="L30" s="53"/>
      <c r="N30" s="1" t="b">
        <f>ISNUMBER(J14)</f>
        <v>0</v>
      </c>
      <c r="R30" s="49"/>
    </row>
    <row r="31" spans="2:21" ht="15" customHeight="1" x14ac:dyDescent="0.25">
      <c r="B31" s="52" t="s">
        <v>74</v>
      </c>
      <c r="C31" s="52"/>
      <c r="D31" s="52"/>
      <c r="E31" s="52"/>
      <c r="F31" s="52" t="str">
        <f>B68</f>
        <v>per 100 referrals</v>
      </c>
      <c r="G31" s="52"/>
      <c r="H31" s="52"/>
      <c r="I31" s="52"/>
      <c r="J31" s="52"/>
      <c r="K31" s="52"/>
      <c r="L31" s="53"/>
      <c r="R31" s="49"/>
    </row>
    <row r="32" spans="2:21" ht="15" customHeight="1" x14ac:dyDescent="0.25">
      <c r="B32" s="52" t="s">
        <v>75</v>
      </c>
      <c r="C32" s="52"/>
      <c r="D32" s="52"/>
      <c r="E32" s="52"/>
      <c r="F32" s="52" t="str">
        <f>B69</f>
        <v>per 100 youth petitioned</v>
      </c>
      <c r="G32" s="52"/>
      <c r="H32" s="52"/>
      <c r="I32" s="52"/>
      <c r="J32" s="52"/>
      <c r="K32" s="52"/>
      <c r="L32" s="53"/>
      <c r="R32" s="49"/>
    </row>
    <row r="33" spans="2:18" ht="15" customHeight="1" x14ac:dyDescent="0.25">
      <c r="B33" s="52" t="s">
        <v>76</v>
      </c>
      <c r="C33" s="52"/>
      <c r="D33" s="52"/>
      <c r="E33" s="52"/>
      <c r="F33" s="52" t="str">
        <f>B70</f>
        <v>per 100 youth found delinquent</v>
      </c>
      <c r="G33" s="52"/>
      <c r="H33" s="52"/>
      <c r="I33" s="52"/>
      <c r="J33" s="52"/>
      <c r="K33" s="52"/>
      <c r="L33" s="53"/>
      <c r="R33" s="49"/>
    </row>
    <row r="34" spans="2:18" ht="15" customHeight="1" x14ac:dyDescent="0.25">
      <c r="B34" s="52" t="s">
        <v>77</v>
      </c>
      <c r="C34" s="52"/>
      <c r="D34" s="52"/>
      <c r="E34" s="52"/>
      <c r="F34" s="52" t="str">
        <f>B70</f>
        <v>per 100 youth found delinquent</v>
      </c>
      <c r="G34" s="52"/>
      <c r="H34" s="52"/>
      <c r="I34" s="52"/>
      <c r="J34" s="52"/>
      <c r="K34" s="52"/>
      <c r="L34" s="53"/>
      <c r="R34" s="49"/>
    </row>
    <row r="35" spans="2:18" ht="15" customHeight="1" x14ac:dyDescent="0.25">
      <c r="B35" s="52" t="s">
        <v>78</v>
      </c>
      <c r="C35" s="52"/>
      <c r="D35" s="52"/>
      <c r="E35" s="52"/>
      <c r="F35" s="52" t="str">
        <f>B69</f>
        <v>per 100 youth petitioned</v>
      </c>
      <c r="G35" s="52"/>
      <c r="H35" s="52"/>
      <c r="I35" s="52"/>
      <c r="J35" s="52"/>
      <c r="K35" s="52"/>
      <c r="L35" s="53"/>
      <c r="R35" s="49"/>
    </row>
    <row r="36" spans="2:18" ht="15" customHeight="1" x14ac:dyDescent="0.25">
      <c r="R36" s="49"/>
    </row>
    <row r="37" spans="2:18" ht="15" customHeight="1" x14ac:dyDescent="0.25">
      <c r="R37" s="49"/>
    </row>
    <row r="38" spans="2:18" ht="15" customHeight="1" x14ac:dyDescent="0.25">
      <c r="R38" s="49"/>
    </row>
    <row r="39" spans="2:18" ht="15"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2.3570000000000002</v>
      </c>
      <c r="D42" s="56">
        <f>E6/1000</f>
        <v>7.1999999999999995E-2</v>
      </c>
      <c r="E42" s="56">
        <f>MAX(C42:D42)</f>
        <v>2.3570000000000002</v>
      </c>
      <c r="G42" s="1" t="str">
        <f>B42</f>
        <v>per 1000 youth</v>
      </c>
      <c r="L42" s="57">
        <v>1000</v>
      </c>
      <c r="M42" s="57"/>
      <c r="R42" s="49"/>
    </row>
    <row r="43" spans="2:18" ht="15" hidden="1" customHeight="1" x14ac:dyDescent="0.25">
      <c r="B43" s="49" t="s">
        <v>87</v>
      </c>
      <c r="C43" s="56">
        <f>C7/100</f>
        <v>0.03</v>
      </c>
      <c r="D43" s="56">
        <f>E7/100</f>
        <v>0</v>
      </c>
      <c r="E43" s="56">
        <f>MAX(C43:D43,0)</f>
        <v>0.03</v>
      </c>
      <c r="G43" s="1" t="str">
        <f>B43</f>
        <v>per 100 arrests</v>
      </c>
      <c r="L43" s="57">
        <v>100</v>
      </c>
      <c r="M43" s="57"/>
      <c r="R43" s="49"/>
    </row>
    <row r="44" spans="2:18" ht="15" hidden="1" customHeight="1" x14ac:dyDescent="0.25">
      <c r="B44" s="49" t="s">
        <v>88</v>
      </c>
      <c r="C44" s="56">
        <f>C8/100</f>
        <v>0.27</v>
      </c>
      <c r="D44" s="56">
        <f>E8/100</f>
        <v>0</v>
      </c>
      <c r="E44" s="56">
        <f>MAX(C44:D44,0)</f>
        <v>0.27</v>
      </c>
      <c r="G44" s="1" t="str">
        <f>B44</f>
        <v>per 100 referrals</v>
      </c>
      <c r="L44" s="57">
        <v>100</v>
      </c>
      <c r="M44" s="57"/>
      <c r="R44" s="49"/>
    </row>
    <row r="45" spans="2:18" ht="15" hidden="1" customHeight="1" x14ac:dyDescent="0.25">
      <c r="B45" s="49" t="s">
        <v>89</v>
      </c>
      <c r="C45" s="49">
        <f>C11/100</f>
        <v>0.13</v>
      </c>
      <c r="D45" s="49">
        <f>E11/100</f>
        <v>0</v>
      </c>
      <c r="E45" s="56">
        <f>MAX(C45:D45,0)</f>
        <v>0.13</v>
      </c>
      <c r="G45" s="1" t="str">
        <f>B45</f>
        <v>per 100 youth petitioned</v>
      </c>
      <c r="L45" s="57">
        <v>100</v>
      </c>
      <c r="M45" s="57"/>
      <c r="R45" s="49"/>
    </row>
    <row r="46" spans="2:18" ht="15" hidden="1" customHeight="1" x14ac:dyDescent="0.25">
      <c r="B46" s="49" t="s">
        <v>90</v>
      </c>
      <c r="C46" s="49">
        <f>C12/100</f>
        <v>0.12</v>
      </c>
      <c r="D46" s="49">
        <f>E12/100</f>
        <v>0</v>
      </c>
      <c r="E46" s="56">
        <f>MAX(C46:D46)</f>
        <v>0.12</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2.3570000000000002</v>
      </c>
      <c r="D48" s="56">
        <f>D42</f>
        <v>7.1999999999999995E-2</v>
      </c>
      <c r="E48" s="56">
        <f>MAX(C48:D48)</f>
        <v>2.3570000000000002</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 t="shared" si="9"/>
        <v>0.03</v>
      </c>
      <c r="D49" s="49">
        <f t="shared" si="9"/>
        <v>0</v>
      </c>
      <c r="E49" s="49">
        <f>MAX(C49:D49)</f>
        <v>0.03</v>
      </c>
      <c r="G49" s="1" t="str">
        <f>G43</f>
        <v>per 100 arrests</v>
      </c>
      <c r="L49" s="58">
        <f>IF(($E43&gt;0),L43,L42)</f>
        <v>100</v>
      </c>
      <c r="M49" s="58"/>
      <c r="N49" s="21"/>
      <c r="O49" s="21"/>
      <c r="P49" s="21"/>
      <c r="Q49" s="21"/>
      <c r="R49" s="21"/>
    </row>
    <row r="50" spans="2:18" ht="15" hidden="1" customHeight="1" x14ac:dyDescent="0.25">
      <c r="B50" s="49" t="str">
        <f t="shared" si="9"/>
        <v>per 100 referrals</v>
      </c>
      <c r="C50" s="49">
        <f t="shared" si="9"/>
        <v>0.27</v>
      </c>
      <c r="D50" s="49">
        <f t="shared" si="9"/>
        <v>0</v>
      </c>
      <c r="E50" s="49">
        <f>MAX(C50:D50)</f>
        <v>0.27</v>
      </c>
      <c r="G50" s="1" t="str">
        <f>G44</f>
        <v>per 100 referrals</v>
      </c>
      <c r="L50" s="58">
        <f>IF(($E44&gt;0),L44,L43)</f>
        <v>100</v>
      </c>
      <c r="M50" s="58"/>
      <c r="N50" s="21"/>
      <c r="O50" s="21"/>
      <c r="P50" s="21"/>
      <c r="Q50" s="21"/>
      <c r="R50" s="21"/>
    </row>
    <row r="51" spans="2:18" ht="15" hidden="1" customHeight="1" x14ac:dyDescent="0.25">
      <c r="B51" s="49" t="str">
        <f>IF(($E45&gt;0),B45,B43)</f>
        <v>per 100 youth petitioned</v>
      </c>
      <c r="C51" s="49">
        <f>IF(($E45&gt;0),C45,C44)</f>
        <v>0.13</v>
      </c>
      <c r="D51" s="49">
        <f>IF(($E45&gt;0),D45,D44)</f>
        <v>0</v>
      </c>
      <c r="E51" s="49">
        <f>MAX(C51:D51)</f>
        <v>0.13</v>
      </c>
      <c r="G51" s="1" t="str">
        <f>G45</f>
        <v>per 100 youth petitioned</v>
      </c>
      <c r="L51" s="58">
        <f>IF(($E45&gt;0),L45,L44)</f>
        <v>100</v>
      </c>
      <c r="M51" s="58"/>
    </row>
    <row r="52" spans="2:18" ht="15" hidden="1" customHeight="1" x14ac:dyDescent="0.25">
      <c r="B52" s="49" t="str">
        <f>IF(($E46&gt;0),B46,B45)</f>
        <v>per 100 youth found delinquent</v>
      </c>
      <c r="C52" s="49">
        <f>IF(($E46&gt;0),C46,C45)</f>
        <v>0.12</v>
      </c>
      <c r="D52" s="49">
        <f>IF(($E46&gt;0),D46,D45)</f>
        <v>0</v>
      </c>
      <c r="E52" s="56">
        <f>MAX(C52:D52)</f>
        <v>0.12</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2.3570000000000002</v>
      </c>
      <c r="D54" s="56">
        <f>D48</f>
        <v>7.1999999999999995E-2</v>
      </c>
      <c r="E54" s="56">
        <f>MAX(C54:D54)</f>
        <v>2.3570000000000002</v>
      </c>
      <c r="G54" s="1" t="str">
        <f>G48</f>
        <v>per 1000 youth</v>
      </c>
      <c r="L54" s="58">
        <f>L48</f>
        <v>1000</v>
      </c>
      <c r="M54" s="58"/>
    </row>
    <row r="55" spans="2:18" ht="15" hidden="1" customHeight="1" x14ac:dyDescent="0.25">
      <c r="B55" s="49" t="str">
        <f t="shared" ref="B55:D56" si="10">IF(($E49&gt;0),B49,B48)</f>
        <v>per 100 arrests</v>
      </c>
      <c r="C55" s="49">
        <f t="shared" si="10"/>
        <v>0.03</v>
      </c>
      <c r="D55" s="49">
        <f t="shared" si="10"/>
        <v>0</v>
      </c>
      <c r="E55" s="49">
        <f>MAX(C55:D55)</f>
        <v>0.03</v>
      </c>
      <c r="G55" s="1" t="str">
        <f>G49</f>
        <v>per 100 arrests</v>
      </c>
      <c r="L55" s="58">
        <f>IF(($E49&gt;0),L49,L48)</f>
        <v>100</v>
      </c>
      <c r="M55" s="58"/>
    </row>
    <row r="56" spans="2:18" ht="15" hidden="1" customHeight="1" x14ac:dyDescent="0.25">
      <c r="B56" s="49" t="str">
        <f t="shared" si="10"/>
        <v>per 100 referrals</v>
      </c>
      <c r="C56" s="49">
        <f t="shared" si="10"/>
        <v>0.27</v>
      </c>
      <c r="D56" s="49">
        <f t="shared" si="10"/>
        <v>0</v>
      </c>
      <c r="E56" s="49">
        <f>MAX(C56:D56)</f>
        <v>0.27</v>
      </c>
      <c r="G56" s="1" t="str">
        <f>G50</f>
        <v>per 100 referrals</v>
      </c>
      <c r="L56" s="58">
        <f>IF(($E50&gt;0),L50,L49)</f>
        <v>100</v>
      </c>
      <c r="M56" s="58"/>
    </row>
    <row r="57" spans="2:18" ht="15" hidden="1" customHeight="1" x14ac:dyDescent="0.25">
      <c r="B57" s="49" t="str">
        <f>IF(($E51&gt;0),B51,B49)</f>
        <v>per 100 youth petitioned</v>
      </c>
      <c r="C57" s="49">
        <f>IF(($E51&gt;0),C51,C50)</f>
        <v>0.13</v>
      </c>
      <c r="D57" s="49">
        <f>IF(($E51&gt;0),D51,D50)</f>
        <v>0</v>
      </c>
      <c r="E57" s="49">
        <f>MAX(C57:D57)</f>
        <v>0.13</v>
      </c>
      <c r="G57" s="1" t="str">
        <f>G51</f>
        <v>per 100 youth petitioned</v>
      </c>
      <c r="L57" s="58">
        <f>IF(($E51&gt;0),L51,L50)</f>
        <v>100</v>
      </c>
      <c r="M57" s="58"/>
    </row>
    <row r="58" spans="2:18" ht="15" hidden="1" customHeight="1" x14ac:dyDescent="0.25">
      <c r="B58" s="49" t="str">
        <f>IF(($E52&gt;0),B52,B51)</f>
        <v>per 100 youth found delinquent</v>
      </c>
      <c r="C58" s="49">
        <f>IF(($E52&gt;0),C52,C51)</f>
        <v>0.12</v>
      </c>
      <c r="D58" s="49">
        <f>IF(($E52&gt;0),D52,D51)</f>
        <v>0</v>
      </c>
      <c r="E58" s="56">
        <f>MAX(C58:D58)</f>
        <v>0.12</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2.3570000000000002</v>
      </c>
      <c r="D60" s="56">
        <f>D54</f>
        <v>7.1999999999999995E-2</v>
      </c>
      <c r="E60" s="56">
        <f>MAX(C60:D60)</f>
        <v>2.3570000000000002</v>
      </c>
      <c r="G60" s="1" t="str">
        <f>G54</f>
        <v>per 1000 youth</v>
      </c>
      <c r="L60" s="58">
        <f>L54</f>
        <v>1000</v>
      </c>
      <c r="M60" s="58"/>
    </row>
    <row r="61" spans="2:18" ht="15" hidden="1" customHeight="1" x14ac:dyDescent="0.25">
      <c r="B61" s="49" t="str">
        <f t="shared" ref="B61:D62" si="11">IF(($E55&gt;0),B55,B54)</f>
        <v>per 100 arrests</v>
      </c>
      <c r="C61" s="49">
        <f t="shared" si="11"/>
        <v>0.03</v>
      </c>
      <c r="D61" s="49">
        <f t="shared" si="11"/>
        <v>0</v>
      </c>
      <c r="E61" s="49">
        <f>MAX(C61:D61)</f>
        <v>0.03</v>
      </c>
      <c r="G61" s="1" t="str">
        <f>G55</f>
        <v>per 100 arrests</v>
      </c>
      <c r="L61" s="58">
        <f>IF(($E55&gt;0),L55,L54)</f>
        <v>100</v>
      </c>
      <c r="M61" s="58"/>
    </row>
    <row r="62" spans="2:18" ht="15" hidden="1" customHeight="1" x14ac:dyDescent="0.25">
      <c r="B62" s="49" t="str">
        <f t="shared" si="11"/>
        <v>per 100 referrals</v>
      </c>
      <c r="C62" s="49">
        <f t="shared" si="11"/>
        <v>0.27</v>
      </c>
      <c r="D62" s="49">
        <f t="shared" si="11"/>
        <v>0</v>
      </c>
      <c r="E62" s="49">
        <f>MAX(C62:D62)</f>
        <v>0.27</v>
      </c>
      <c r="G62" s="1" t="str">
        <f>G56</f>
        <v>per 100 referrals</v>
      </c>
      <c r="L62" s="58">
        <f>IF(($E56&gt;0),L56,L55)</f>
        <v>100</v>
      </c>
      <c r="M62" s="58"/>
    </row>
    <row r="63" spans="2:18" ht="15" hidden="1" customHeight="1" x14ac:dyDescent="0.25">
      <c r="B63" s="49" t="str">
        <f>IF(($E57&gt;0),B57,B55)</f>
        <v>per 100 youth petitioned</v>
      </c>
      <c r="C63" s="49">
        <f>IF(($E57&gt;0),C57,C56)</f>
        <v>0.13</v>
      </c>
      <c r="D63" s="49">
        <f>IF(($E57&gt;0),D57,D56)</f>
        <v>0</v>
      </c>
      <c r="E63" s="49">
        <f>MAX(C63:D63)</f>
        <v>0.13</v>
      </c>
      <c r="G63" s="1" t="str">
        <f>G57</f>
        <v>per 100 youth petitioned</v>
      </c>
      <c r="L63" s="58">
        <f>IF(($E57&gt;0),L57,L56)</f>
        <v>100</v>
      </c>
      <c r="M63" s="58"/>
    </row>
    <row r="64" spans="2:18" ht="15" hidden="1" customHeight="1" x14ac:dyDescent="0.25">
      <c r="B64" s="49" t="str">
        <f>IF(($E58&gt;0),B58,B57)</f>
        <v>per 100 youth found delinquent</v>
      </c>
      <c r="C64" s="49">
        <f>IF(($E58&gt;0),C58,C57)</f>
        <v>0.12</v>
      </c>
      <c r="D64" s="49">
        <f>IF(($E58&gt;0),D58,D57)</f>
        <v>0</v>
      </c>
      <c r="E64" s="56">
        <f>MAX(C64:D64)</f>
        <v>0.12</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2.3570000000000002</v>
      </c>
      <c r="D66" s="56">
        <f>D60</f>
        <v>7.1999999999999995E-2</v>
      </c>
      <c r="E66" s="56">
        <f>MAX(C66:D66)</f>
        <v>2.3570000000000002</v>
      </c>
      <c r="G66" s="1" t="str">
        <f>G60</f>
        <v>per 1000 youth</v>
      </c>
      <c r="L66" s="58">
        <f>L60</f>
        <v>1000</v>
      </c>
      <c r="M66" s="58">
        <f>IF((B66=G66),1,2)</f>
        <v>1</v>
      </c>
    </row>
    <row r="67" spans="2:13" ht="15" hidden="1" customHeight="1" x14ac:dyDescent="0.25">
      <c r="B67" s="49" t="str">
        <f t="shared" ref="B67:D68" si="12">IF(($E61&gt;0),B61,B60)</f>
        <v>per 100 arrests</v>
      </c>
      <c r="C67" s="49">
        <f t="shared" si="12"/>
        <v>0.03</v>
      </c>
      <c r="D67" s="49">
        <f t="shared" si="12"/>
        <v>0</v>
      </c>
      <c r="E67" s="49">
        <f>MAX(C67:D67)</f>
        <v>0.03</v>
      </c>
      <c r="G67" s="1" t="str">
        <f>G61</f>
        <v>per 100 arrests</v>
      </c>
      <c r="L67" s="58">
        <f>IF(($E61&gt;0),L61,L60)</f>
        <v>100</v>
      </c>
      <c r="M67" s="58">
        <f>IF((B67=G67),1,2)</f>
        <v>1</v>
      </c>
    </row>
    <row r="68" spans="2:13" ht="15" hidden="1" customHeight="1" x14ac:dyDescent="0.25">
      <c r="B68" s="49" t="str">
        <f t="shared" si="12"/>
        <v>per 100 referrals</v>
      </c>
      <c r="C68" s="49">
        <f t="shared" si="12"/>
        <v>0.27</v>
      </c>
      <c r="D68" s="49">
        <f t="shared" si="12"/>
        <v>0</v>
      </c>
      <c r="E68" s="49">
        <f>MAX(C68:D68)</f>
        <v>0.27</v>
      </c>
      <c r="G68" s="1" t="str">
        <f>G62</f>
        <v>per 100 referrals</v>
      </c>
      <c r="L68" s="58">
        <f>IF(($E62&gt;0),L62,L61)</f>
        <v>100</v>
      </c>
      <c r="M68" s="58">
        <f>IF((B68=G68),1,2)</f>
        <v>1</v>
      </c>
    </row>
    <row r="69" spans="2:13" ht="15" hidden="1" customHeight="1" x14ac:dyDescent="0.25">
      <c r="B69" s="49" t="str">
        <f>IF(($E63&gt;0),B63,B61)</f>
        <v>per 100 youth petitioned</v>
      </c>
      <c r="C69" s="49">
        <f>IF(($E63&gt;0),C63,C62)</f>
        <v>0.13</v>
      </c>
      <c r="D69" s="49">
        <f>IF(($E63&gt;0),D63,D62)</f>
        <v>0</v>
      </c>
      <c r="E69" s="49">
        <f>MAX(C69:D69)</f>
        <v>0.13</v>
      </c>
      <c r="G69" s="1" t="str">
        <f>G63</f>
        <v>per 100 youth petitioned</v>
      </c>
      <c r="L69" s="58">
        <f>IF(($E63&gt;0),L63,L62)</f>
        <v>100</v>
      </c>
      <c r="M69" s="58">
        <f>IF((B69=G69),1,2)</f>
        <v>1</v>
      </c>
    </row>
    <row r="70" spans="2:13" ht="15" hidden="1" customHeight="1" x14ac:dyDescent="0.25">
      <c r="B70" s="49" t="str">
        <f>IF(($E64&gt;0),B64,B63)</f>
        <v>per 100 youth found delinquent</v>
      </c>
      <c r="C70" s="49">
        <f>IF(($E64&gt;0),C64,C63)</f>
        <v>0.12</v>
      </c>
      <c r="D70" s="49">
        <f>IF(($E64&gt;0),D64,D63)</f>
        <v>0</v>
      </c>
      <c r="E70" s="56">
        <f>MAX(C70:D70)</f>
        <v>0.12</v>
      </c>
      <c r="G70" s="1" t="str">
        <f>G64</f>
        <v>per 100 youth found delinquent</v>
      </c>
      <c r="L70" s="58">
        <f>IF(($E64&gt;0),L64,L63)</f>
        <v>100</v>
      </c>
      <c r="M70" s="58">
        <f>IF((B70=G70),1,2)</f>
        <v>1</v>
      </c>
    </row>
    <row r="82" spans="2:2" ht="15" customHeight="1" x14ac:dyDescent="0.25">
      <c r="B82" s="60"/>
    </row>
    <row r="83" spans="2:2" ht="15" customHeight="1" x14ac:dyDescent="0.25">
      <c r="B83" s="61"/>
    </row>
  </sheetData>
  <sheetProtection password="C722" objects="1"/>
  <mergeCells count="3">
    <mergeCell ref="B40:J40"/>
    <mergeCell ref="N3:U4"/>
    <mergeCell ref="F1:J1"/>
  </mergeCells>
  <phoneticPr fontId="0" type="noConversion"/>
  <conditionalFormatting sqref="G7:G15">
    <cfRule type="expression" dxfId="65" priority="1" stopIfTrue="1">
      <formula>$L7=1</formula>
    </cfRule>
    <cfRule type="expression" dxfId="64" priority="2" stopIfTrue="1">
      <formula>$L7=2</formula>
    </cfRule>
    <cfRule type="expression" dxfId="63" priority="3" stopIfTrue="1">
      <formula>$L7&gt;3</formula>
    </cfRule>
  </conditionalFormatting>
  <conditionalFormatting sqref="F27">
    <cfRule type="expression" dxfId="62" priority="4" stopIfTrue="1">
      <formula>M66=2</formula>
    </cfRule>
  </conditionalFormatting>
  <conditionalFormatting sqref="F28">
    <cfRule type="expression" dxfId="61" priority="5" stopIfTrue="1">
      <formula>M67=2</formula>
    </cfRule>
  </conditionalFormatting>
  <conditionalFormatting sqref="F29">
    <cfRule type="expression" dxfId="60" priority="6" stopIfTrue="1">
      <formula>M68 = 2</formula>
    </cfRule>
  </conditionalFormatting>
  <conditionalFormatting sqref="F30">
    <cfRule type="expression" dxfId="59" priority="7" stopIfTrue="1">
      <formula>M68 = 2</formula>
    </cfRule>
  </conditionalFormatting>
  <conditionalFormatting sqref="F31">
    <cfRule type="expression" dxfId="58" priority="8" stopIfTrue="1">
      <formula>M68 = 2</formula>
    </cfRule>
  </conditionalFormatting>
  <conditionalFormatting sqref="F32:F33">
    <cfRule type="expression" dxfId="57" priority="9" stopIfTrue="1">
      <formula>M69=2</formula>
    </cfRule>
  </conditionalFormatting>
  <conditionalFormatting sqref="F34">
    <cfRule type="expression" dxfId="56" priority="10" stopIfTrue="1">
      <formula>M70 = 2</formula>
    </cfRule>
  </conditionalFormatting>
  <conditionalFormatting sqref="F35">
    <cfRule type="expression" dxfId="55" priority="11" stopIfTrue="1">
      <formula>M69=2</formula>
    </cfRule>
  </conditionalFormatting>
  <conditionalFormatting sqref="B86">
    <cfRule type="expression" dxfId="54" priority="12" stopIfTrue="1">
      <formula>$D$83= 2</formula>
    </cfRule>
  </conditionalFormatting>
  <pageMargins left="0.53" right="0.42" top="0.75" bottom="0.5" header="0" footer="0"/>
  <pageSetup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AA90"/>
  <sheetViews>
    <sheetView showGridLines="0" showRowColHeaders="0"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7" width="0" style="1" hidden="1" customWidth="1"/>
  </cols>
  <sheetData>
    <row r="1" spans="2:21" ht="27.75" customHeight="1" x14ac:dyDescent="0.25">
      <c r="B1" s="16" t="s">
        <v>29</v>
      </c>
      <c r="D1" s="20" t="s">
        <v>30</v>
      </c>
      <c r="E1" s="14"/>
      <c r="F1" s="219" t="str">
        <f>'Data Entry'!G5</f>
        <v>Native Hawaiian or Other Pacific Islanders</v>
      </c>
      <c r="G1" s="219"/>
      <c r="H1" s="219"/>
      <c r="I1" s="219"/>
      <c r="J1" s="219"/>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Emmet</v>
      </c>
      <c r="C3" s="22"/>
      <c r="D3" s="22"/>
      <c r="E3" s="22"/>
      <c r="F3" s="22"/>
      <c r="G3" s="7"/>
      <c r="H3" s="7"/>
      <c r="I3" s="7"/>
      <c r="J3" s="7"/>
      <c r="K3" s="7"/>
      <c r="N3" s="218" t="s">
        <v>31</v>
      </c>
      <c r="O3" s="218"/>
      <c r="P3" s="218"/>
      <c r="Q3" s="218"/>
      <c r="R3" s="218"/>
      <c r="S3" s="218"/>
      <c r="T3" s="218"/>
      <c r="U3" s="218"/>
    </row>
    <row r="4" spans="2:21" ht="8.2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2357</v>
      </c>
      <c r="D6" s="34"/>
      <c r="E6" s="33">
        <f>'Data Entry'!G6</f>
        <v>0</v>
      </c>
      <c r="F6" s="34"/>
      <c r="G6" s="35"/>
      <c r="H6" s="36"/>
      <c r="I6" s="37"/>
      <c r="J6" s="38"/>
      <c r="K6" s="37"/>
      <c r="L6" s="1">
        <f>IF( ('Data Entry'!G6&gt;('Data Entry'!B6/100)),1,100)</f>
        <v>100</v>
      </c>
      <c r="M6" s="1" t="s">
        <v>50</v>
      </c>
      <c r="N6" s="21"/>
      <c r="O6" s="21"/>
      <c r="P6" s="21"/>
      <c r="Q6" s="21"/>
      <c r="R6" s="21"/>
      <c r="S6" s="30"/>
      <c r="T6" s="30"/>
      <c r="U6" s="31"/>
    </row>
    <row r="7" spans="2:21" ht="18" customHeight="1" x14ac:dyDescent="0.25">
      <c r="B7" s="32" t="str">
        <f>'Data Entry'!A7</f>
        <v xml:space="preserve">2. Juvenile Arrests </v>
      </c>
      <c r="C7" s="33">
        <f>'Data Entry'!C7</f>
        <v>3</v>
      </c>
      <c r="D7" s="34">
        <f>IF((AND(C66&gt;0,C7&gt;0)),(C7/C66),0)</f>
        <v>1.2728044123886295</v>
      </c>
      <c r="E7" s="33">
        <f>'Data Entry'!G7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3</v>
      </c>
      <c r="Q7" s="42">
        <f>C6-C7</f>
        <v>2354</v>
      </c>
      <c r="R7" s="42">
        <f t="shared" ref="R7:R15" si="5">SUM(N7:Q7)</f>
        <v>2357</v>
      </c>
      <c r="S7" s="30">
        <f t="shared" ref="S7:S15" si="6">R7*((((N7*Q7)-(O7*P7))^2))</f>
        <v>0</v>
      </c>
      <c r="T7" s="30">
        <f t="shared" ref="T7:T15" si="7">(N7+O7)*(P7+Q7)*(N7+P7)*(O7+Q7)</f>
        <v>0</v>
      </c>
      <c r="U7" s="31" t="str">
        <f t="shared" ref="U7:U15" si="8">IF((S7&gt;0),S7/T7,"- -")</f>
        <v>- -</v>
      </c>
    </row>
    <row r="8" spans="2:21" ht="18" customHeight="1" x14ac:dyDescent="0.25">
      <c r="B8" s="32" t="str">
        <f>'Data Entry'!A8</f>
        <v>3. Refer to Juvenile Court</v>
      </c>
      <c r="C8" s="33">
        <f>'Data Entry'!C8</f>
        <v>27</v>
      </c>
      <c r="D8" s="34">
        <f>IF((AND(C67&gt;0,C8&gt;0)),(C8/C67),0)</f>
        <v>900</v>
      </c>
      <c r="E8" s="33">
        <f>'Data Entry'!G8</f>
        <v>0</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0</v>
      </c>
      <c r="O8" s="42">
        <f>((D67*L67)-E8)+0.05</f>
        <v>0.05</v>
      </c>
      <c r="P8" s="42">
        <f t="shared" si="4"/>
        <v>27</v>
      </c>
      <c r="Q8" s="42">
        <f>(C$67*L67)-C8</f>
        <v>-24</v>
      </c>
      <c r="R8" s="42">
        <f t="shared" si="5"/>
        <v>3.0500000000000007</v>
      </c>
      <c r="S8" s="30">
        <f t="shared" si="6"/>
        <v>5.5586250000000019</v>
      </c>
      <c r="T8" s="30">
        <f t="shared" si="7"/>
        <v>-96.997500000000016</v>
      </c>
      <c r="U8" s="31">
        <f t="shared" si="8"/>
        <v>-5.7306889352818378E-2</v>
      </c>
    </row>
    <row r="9" spans="2:21" ht="18" customHeight="1" x14ac:dyDescent="0.25">
      <c r="B9" s="32" t="str">
        <f>'Data Entry'!A9</f>
        <v xml:space="preserve">4. Cases Diverted </v>
      </c>
      <c r="C9" s="33">
        <f>'Data Entry'!C9</f>
        <v>1</v>
      </c>
      <c r="D9" s="34">
        <f>IF((AND(C68&gt;0,C9&gt;0)),((C9/C68)),0)</f>
        <v>3.7037037037037033</v>
      </c>
      <c r="E9" s="33">
        <f>'Data Entry'!G9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1</v>
      </c>
      <c r="Q9" s="42">
        <f>(C$68*L68)-C9</f>
        <v>26</v>
      </c>
      <c r="R9" s="42">
        <f t="shared" si="5"/>
        <v>27</v>
      </c>
      <c r="S9" s="30">
        <f t="shared" si="6"/>
        <v>0</v>
      </c>
      <c r="T9" s="30">
        <f t="shared" si="7"/>
        <v>0</v>
      </c>
      <c r="U9" s="31" t="str">
        <f t="shared" si="8"/>
        <v>- -</v>
      </c>
    </row>
    <row r="10" spans="2:21" ht="18" customHeight="1" x14ac:dyDescent="0.25">
      <c r="B10" s="32" t="str">
        <f>'Data Entry'!A10</f>
        <v>5. Cases Involving Secure Detention</v>
      </c>
      <c r="C10" s="33">
        <f>'Data Entry'!C10</f>
        <v>2</v>
      </c>
      <c r="D10" s="34">
        <f>IF(((AND(C68&gt;0,C10&gt;0))),(C10/(C68)),0)</f>
        <v>7.4074074074074066</v>
      </c>
      <c r="E10" s="33">
        <f>'Data Entry'!G10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2</v>
      </c>
      <c r="Q10" s="42">
        <f>(C$68*L68)-C10</f>
        <v>25</v>
      </c>
      <c r="R10" s="42">
        <f t="shared" si="5"/>
        <v>27</v>
      </c>
      <c r="S10" s="30">
        <f t="shared" si="6"/>
        <v>0</v>
      </c>
      <c r="T10" s="30">
        <f t="shared" si="7"/>
        <v>0</v>
      </c>
      <c r="U10" s="31" t="str">
        <f t="shared" si="8"/>
        <v>- -</v>
      </c>
    </row>
    <row r="11" spans="2:21" ht="18" customHeight="1" x14ac:dyDescent="0.25">
      <c r="B11" s="32" t="str">
        <f>'Data Entry'!A11</f>
        <v>6. Cases Petitioned (Charge Filed)</v>
      </c>
      <c r="C11" s="33">
        <f>'Data Entry'!C11</f>
        <v>13</v>
      </c>
      <c r="D11" s="34">
        <f>IF(((AND(C68&gt;0,C11&gt;0))),(C11/(C68)),0)</f>
        <v>48.148148148148145</v>
      </c>
      <c r="E11" s="33">
        <f>'Data Entry'!G11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13</v>
      </c>
      <c r="Q11" s="42">
        <f>(C$68*L68)-C11</f>
        <v>14</v>
      </c>
      <c r="R11" s="42">
        <f t="shared" si="5"/>
        <v>27</v>
      </c>
      <c r="S11" s="30">
        <f t="shared" si="6"/>
        <v>0</v>
      </c>
      <c r="T11" s="30">
        <f t="shared" si="7"/>
        <v>0</v>
      </c>
      <c r="U11" s="31" t="str">
        <f t="shared" si="8"/>
        <v>- -</v>
      </c>
    </row>
    <row r="12" spans="2:21" ht="18" customHeight="1" x14ac:dyDescent="0.25">
      <c r="B12" s="32" t="str">
        <f>'Data Entry'!A12</f>
        <v>7. Cases Resulting in Delinquent Findings</v>
      </c>
      <c r="C12" s="33">
        <f>'Data Entry'!C12</f>
        <v>12</v>
      </c>
      <c r="D12" s="34">
        <f>IF(((AND(C69&gt;0,C12&gt;0))),(C12/(C69)),0)</f>
        <v>92.307692307692307</v>
      </c>
      <c r="E12" s="33">
        <f>'Data Entry'!G12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12</v>
      </c>
      <c r="Q12" s="42">
        <f>(C69*L69)-C12</f>
        <v>1</v>
      </c>
      <c r="R12" s="42">
        <f t="shared" si="5"/>
        <v>13</v>
      </c>
      <c r="S12" s="30">
        <f t="shared" si="6"/>
        <v>0</v>
      </c>
      <c r="T12" s="30">
        <f t="shared" si="7"/>
        <v>0</v>
      </c>
      <c r="U12" s="31" t="str">
        <f t="shared" si="8"/>
        <v>- -</v>
      </c>
    </row>
    <row r="13" spans="2:21" ht="18" customHeight="1" x14ac:dyDescent="0.25">
      <c r="B13" s="32" t="str">
        <f>'Data Entry'!A13</f>
        <v>8. Cases Resulting in Probation Placement</v>
      </c>
      <c r="C13" s="33">
        <f>'Data Entry'!C13</f>
        <v>23</v>
      </c>
      <c r="D13" s="34">
        <f>IF(((AND(C70&gt;0,C13&gt;0))),(C13/(C70)),0)</f>
        <v>191.66666666666669</v>
      </c>
      <c r="E13" s="33">
        <f>'Data Entry'!G13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23</v>
      </c>
      <c r="Q13" s="42">
        <f>(C70*L70)-C13</f>
        <v>-11</v>
      </c>
      <c r="R13" s="42">
        <f t="shared" si="5"/>
        <v>12</v>
      </c>
      <c r="S13" s="30">
        <f t="shared" si="6"/>
        <v>0</v>
      </c>
      <c r="T13" s="30">
        <f t="shared" si="7"/>
        <v>0</v>
      </c>
      <c r="U13" s="31" t="str">
        <f t="shared" si="8"/>
        <v>- -</v>
      </c>
    </row>
    <row r="14" spans="2:21" ht="30.75" customHeight="1" x14ac:dyDescent="0.25">
      <c r="B14" s="32" t="str">
        <f>'Data Entry'!A14</f>
        <v xml:space="preserve">9. Cases Resulting in Confinement in Secure Juvenile Correctional Facilities </v>
      </c>
      <c r="C14" s="33">
        <f>'Data Entry'!C14</f>
        <v>4</v>
      </c>
      <c r="D14" s="34">
        <f>IF(((AND(C70&gt;0,C14&gt;0))), ((C14/(C70))),0)</f>
        <v>33.333333333333336</v>
      </c>
      <c r="E14" s="33">
        <f>'Data Entry'!G14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4</v>
      </c>
      <c r="Q14" s="42">
        <f>(C70*L70)-C14</f>
        <v>8</v>
      </c>
      <c r="R14" s="42">
        <f t="shared" si="5"/>
        <v>12</v>
      </c>
      <c r="S14" s="30">
        <f t="shared" si="6"/>
        <v>0</v>
      </c>
      <c r="T14" s="30">
        <f t="shared" si="7"/>
        <v>0</v>
      </c>
      <c r="U14" s="31" t="str">
        <f t="shared" si="8"/>
        <v>- -</v>
      </c>
    </row>
    <row r="15" spans="2:21" ht="15.75" customHeight="1" x14ac:dyDescent="0.25">
      <c r="B15" s="32" t="str">
        <f>'Data Entry'!A15</f>
        <v xml:space="preserve">10. Cases Transferred to Adult Court </v>
      </c>
      <c r="C15" s="33">
        <f>'Data Entry'!C15</f>
        <v>0</v>
      </c>
      <c r="D15" s="34">
        <f>IF(((AND(C69&gt;0,C15&gt;0))),((C15/(C69))),0)</f>
        <v>0</v>
      </c>
      <c r="E15" s="33">
        <f>'Data Entry'!G15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13</v>
      </c>
      <c r="R15" s="42">
        <f t="shared" si="5"/>
        <v>13</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26.25" customHeight="1" x14ac:dyDescent="0.25">
      <c r="B17" s="62"/>
      <c r="C17" s="62"/>
      <c r="D17" s="62"/>
      <c r="E17" s="62"/>
      <c r="F17" s="62"/>
      <c r="G17" s="62"/>
      <c r="H17" s="62"/>
      <c r="I17" s="62"/>
      <c r="K17" s="1" t="s">
        <v>92</v>
      </c>
      <c r="L17" s="1" t="s">
        <v>93</v>
      </c>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26.25" customHeight="1" x14ac:dyDescent="0.25">
      <c r="B24" s="62"/>
      <c r="C24" s="62"/>
      <c r="D24" s="62"/>
      <c r="E24" s="62"/>
      <c r="F24" s="62"/>
      <c r="G24" s="62"/>
      <c r="H24" s="62"/>
      <c r="I24" s="62"/>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referrals</v>
      </c>
      <c r="G29" s="52"/>
      <c r="H29" s="52"/>
      <c r="I29" s="52"/>
      <c r="J29" s="52"/>
      <c r="K29" s="52"/>
      <c r="L29" s="53"/>
      <c r="R29" s="49"/>
    </row>
    <row r="30" spans="2:21" ht="15" customHeight="1" x14ac:dyDescent="0.25">
      <c r="B30" s="52" t="s">
        <v>73</v>
      </c>
      <c r="C30" s="52"/>
      <c r="D30" s="52"/>
      <c r="E30" s="52"/>
      <c r="F30" s="52" t="str">
        <f>B68</f>
        <v>per 100 referrals</v>
      </c>
      <c r="G30" s="52"/>
      <c r="H30" s="52"/>
      <c r="I30" s="52"/>
      <c r="J30" s="52"/>
      <c r="K30" s="52"/>
      <c r="L30" s="53"/>
      <c r="N30" s="1" t="b">
        <f>ISNUMBER(J14)</f>
        <v>0</v>
      </c>
      <c r="R30" s="49"/>
    </row>
    <row r="31" spans="2:21" ht="15" customHeight="1" x14ac:dyDescent="0.25">
      <c r="B31" s="52" t="s">
        <v>74</v>
      </c>
      <c r="C31" s="52"/>
      <c r="D31" s="52"/>
      <c r="E31" s="52"/>
      <c r="F31" s="52" t="str">
        <f>B68</f>
        <v>per 100 referrals</v>
      </c>
      <c r="G31" s="52"/>
      <c r="H31" s="52"/>
      <c r="I31" s="52"/>
      <c r="J31" s="52"/>
      <c r="K31" s="52"/>
      <c r="L31" s="53"/>
      <c r="R31" s="49"/>
    </row>
    <row r="32" spans="2:21" ht="15" customHeight="1" x14ac:dyDescent="0.25">
      <c r="B32" s="52" t="s">
        <v>75</v>
      </c>
      <c r="C32" s="52"/>
      <c r="D32" s="52"/>
      <c r="E32" s="52"/>
      <c r="F32" s="52" t="str">
        <f>B69</f>
        <v>per 100 youth petitioned</v>
      </c>
      <c r="G32" s="52"/>
      <c r="H32" s="52"/>
      <c r="I32" s="52"/>
      <c r="J32" s="52"/>
      <c r="K32" s="52"/>
      <c r="L32" s="53"/>
      <c r="R32" s="49"/>
    </row>
    <row r="33" spans="2:18" ht="15" customHeight="1" x14ac:dyDescent="0.25">
      <c r="B33" s="52" t="s">
        <v>76</v>
      </c>
      <c r="C33" s="52"/>
      <c r="D33" s="52"/>
      <c r="E33" s="52"/>
      <c r="F33" s="52" t="str">
        <f>B70</f>
        <v>per 100 youth found delinquent</v>
      </c>
      <c r="G33" s="52"/>
      <c r="H33" s="52"/>
      <c r="I33" s="52"/>
      <c r="J33" s="52"/>
      <c r="K33" s="52"/>
      <c r="L33" s="53"/>
      <c r="R33" s="49"/>
    </row>
    <row r="34" spans="2:18" ht="15" customHeight="1" x14ac:dyDescent="0.25">
      <c r="B34" s="52" t="s">
        <v>77</v>
      </c>
      <c r="C34" s="52"/>
      <c r="D34" s="52"/>
      <c r="E34" s="52"/>
      <c r="F34" s="52" t="str">
        <f>B70</f>
        <v>per 100 youth found delinquent</v>
      </c>
      <c r="G34" s="52"/>
      <c r="H34" s="52"/>
      <c r="I34" s="52"/>
      <c r="J34" s="52"/>
      <c r="K34" s="52"/>
      <c r="L34" s="53"/>
      <c r="R34" s="49"/>
    </row>
    <row r="35" spans="2:18" ht="15" customHeight="1" x14ac:dyDescent="0.25">
      <c r="B35" s="52" t="s">
        <v>78</v>
      </c>
      <c r="C35" s="52"/>
      <c r="D35" s="52"/>
      <c r="E35" s="52"/>
      <c r="F35" s="52" t="str">
        <f>B69</f>
        <v>per 100 youth petitioned</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2.3570000000000002</v>
      </c>
      <c r="D42" s="56">
        <f>E6/1000</f>
        <v>0</v>
      </c>
      <c r="E42" s="56">
        <f>MAX(C42:D42)</f>
        <v>2.3570000000000002</v>
      </c>
      <c r="G42" s="1" t="str">
        <f>B42</f>
        <v>per 1000 youth</v>
      </c>
      <c r="L42" s="57">
        <v>1000</v>
      </c>
      <c r="M42" s="57"/>
      <c r="R42" s="49"/>
    </row>
    <row r="43" spans="2:18" ht="15" hidden="1" customHeight="1" x14ac:dyDescent="0.25">
      <c r="B43" s="49" t="s">
        <v>87</v>
      </c>
      <c r="C43" s="56">
        <f>C7/100</f>
        <v>0.03</v>
      </c>
      <c r="D43" s="56">
        <f>E7/100</f>
        <v>0</v>
      </c>
      <c r="E43" s="56">
        <f>MAX(C43:D43,0)</f>
        <v>0.03</v>
      </c>
      <c r="G43" s="1" t="str">
        <f>B43</f>
        <v>per 100 arrests</v>
      </c>
      <c r="L43" s="57">
        <v>100</v>
      </c>
      <c r="M43" s="57"/>
      <c r="R43" s="49"/>
    </row>
    <row r="44" spans="2:18" ht="15" hidden="1" customHeight="1" x14ac:dyDescent="0.25">
      <c r="B44" s="49" t="s">
        <v>88</v>
      </c>
      <c r="C44" s="56">
        <f>C8/100</f>
        <v>0.27</v>
      </c>
      <c r="D44" s="56">
        <f>E8/100</f>
        <v>0</v>
      </c>
      <c r="E44" s="56">
        <f>MAX(C44:D44,0)</f>
        <v>0.27</v>
      </c>
      <c r="G44" s="1" t="str">
        <f>B44</f>
        <v>per 100 referrals</v>
      </c>
      <c r="L44" s="57">
        <v>100</v>
      </c>
      <c r="M44" s="57"/>
      <c r="R44" s="49"/>
    </row>
    <row r="45" spans="2:18" ht="15" hidden="1" customHeight="1" x14ac:dyDescent="0.25">
      <c r="B45" s="49" t="s">
        <v>89</v>
      </c>
      <c r="C45" s="49">
        <f>C11/100</f>
        <v>0.13</v>
      </c>
      <c r="D45" s="49">
        <f>E11/100</f>
        <v>0</v>
      </c>
      <c r="E45" s="56">
        <f>MAX(C45:D45,0)</f>
        <v>0.13</v>
      </c>
      <c r="G45" s="1" t="str">
        <f>B45</f>
        <v>per 100 youth petitioned</v>
      </c>
      <c r="L45" s="57">
        <v>100</v>
      </c>
      <c r="M45" s="57"/>
      <c r="R45" s="49"/>
    </row>
    <row r="46" spans="2:18" ht="15" hidden="1" customHeight="1" x14ac:dyDescent="0.25">
      <c r="B46" s="49" t="s">
        <v>90</v>
      </c>
      <c r="C46" s="49">
        <f>C12/100</f>
        <v>0.12</v>
      </c>
      <c r="D46" s="49">
        <f>E12/100</f>
        <v>0</v>
      </c>
      <c r="E46" s="56">
        <f>MAX(C46:D46)</f>
        <v>0.12</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2.3570000000000002</v>
      </c>
      <c r="D48" s="56">
        <f>D42</f>
        <v>0</v>
      </c>
      <c r="E48" s="56">
        <f>MAX(C48:D48)</f>
        <v>2.3570000000000002</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 t="shared" si="9"/>
        <v>0.03</v>
      </c>
      <c r="D49" s="49">
        <f t="shared" si="9"/>
        <v>0</v>
      </c>
      <c r="E49" s="49">
        <f>MAX(C49:D49)</f>
        <v>0.03</v>
      </c>
      <c r="G49" s="1" t="str">
        <f>G43</f>
        <v>per 100 arrests</v>
      </c>
      <c r="L49" s="58">
        <f>IF(($E43&gt;0),L43,L42)</f>
        <v>100</v>
      </c>
      <c r="M49" s="58"/>
      <c r="N49" s="21"/>
      <c r="O49" s="21"/>
      <c r="P49" s="21"/>
      <c r="Q49" s="21"/>
      <c r="R49" s="21"/>
    </row>
    <row r="50" spans="2:18" ht="15" hidden="1" customHeight="1" x14ac:dyDescent="0.25">
      <c r="B50" s="49" t="str">
        <f t="shared" si="9"/>
        <v>per 100 referrals</v>
      </c>
      <c r="C50" s="49">
        <f t="shared" si="9"/>
        <v>0.27</v>
      </c>
      <c r="D50" s="49">
        <f t="shared" si="9"/>
        <v>0</v>
      </c>
      <c r="E50" s="49">
        <f>MAX(C50:D50)</f>
        <v>0.27</v>
      </c>
      <c r="G50" s="1" t="str">
        <f>G44</f>
        <v>per 100 referrals</v>
      </c>
      <c r="L50" s="58">
        <f>IF(($E44&gt;0),L44,L43)</f>
        <v>100</v>
      </c>
      <c r="M50" s="58"/>
      <c r="N50" s="21"/>
      <c r="O50" s="21"/>
      <c r="P50" s="21"/>
      <c r="Q50" s="21"/>
      <c r="R50" s="21"/>
    </row>
    <row r="51" spans="2:18" ht="15" hidden="1" customHeight="1" x14ac:dyDescent="0.25">
      <c r="B51" s="49" t="str">
        <f>IF(($E45&gt;0),B45,B43)</f>
        <v>per 100 youth petitioned</v>
      </c>
      <c r="C51" s="49">
        <f>IF(($E45&gt;0),C45,C44)</f>
        <v>0.13</v>
      </c>
      <c r="D51" s="49">
        <f>IF(($E45&gt;0),D45,D44)</f>
        <v>0</v>
      </c>
      <c r="E51" s="49">
        <f>MAX(C51:D51)</f>
        <v>0.13</v>
      </c>
      <c r="G51" s="1" t="str">
        <f>G45</f>
        <v>per 100 youth petitioned</v>
      </c>
      <c r="L51" s="58">
        <f>IF(($E45&gt;0),L45,L44)</f>
        <v>100</v>
      </c>
      <c r="M51" s="58"/>
    </row>
    <row r="52" spans="2:18" ht="15" hidden="1" customHeight="1" x14ac:dyDescent="0.25">
      <c r="B52" s="49" t="str">
        <f>IF(($E46&gt;0),B46,B45)</f>
        <v>per 100 youth found delinquent</v>
      </c>
      <c r="C52" s="49">
        <f>IF(($E46&gt;0),C46,C45)</f>
        <v>0.12</v>
      </c>
      <c r="D52" s="49">
        <f>IF(($E46&gt;0),D46,D45)</f>
        <v>0</v>
      </c>
      <c r="E52" s="56">
        <f>MAX(C52:D52)</f>
        <v>0.12</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2.3570000000000002</v>
      </c>
      <c r="D54" s="56">
        <f>D48</f>
        <v>0</v>
      </c>
      <c r="E54" s="56">
        <f>MAX(C54:D54)</f>
        <v>2.3570000000000002</v>
      </c>
      <c r="G54" s="1" t="str">
        <f>G48</f>
        <v>per 1000 youth</v>
      </c>
      <c r="L54" s="58">
        <f>L48</f>
        <v>1000</v>
      </c>
      <c r="M54" s="58"/>
    </row>
    <row r="55" spans="2:18" ht="15" hidden="1" customHeight="1" x14ac:dyDescent="0.25">
      <c r="B55" s="49" t="str">
        <f t="shared" ref="B55:D56" si="10">IF(($E49&gt;0),B49,B48)</f>
        <v>per 100 arrests</v>
      </c>
      <c r="C55" s="49">
        <f t="shared" si="10"/>
        <v>0.03</v>
      </c>
      <c r="D55" s="49">
        <f t="shared" si="10"/>
        <v>0</v>
      </c>
      <c r="E55" s="49">
        <f>MAX(C55:D55)</f>
        <v>0.03</v>
      </c>
      <c r="G55" s="1" t="str">
        <f>G49</f>
        <v>per 100 arrests</v>
      </c>
      <c r="L55" s="58">
        <f>IF(($E49&gt;0),L49,L48)</f>
        <v>100</v>
      </c>
      <c r="M55" s="58"/>
    </row>
    <row r="56" spans="2:18" ht="15" hidden="1" customHeight="1" x14ac:dyDescent="0.25">
      <c r="B56" s="49" t="str">
        <f t="shared" si="10"/>
        <v>per 100 referrals</v>
      </c>
      <c r="C56" s="49">
        <f t="shared" si="10"/>
        <v>0.27</v>
      </c>
      <c r="D56" s="49">
        <f t="shared" si="10"/>
        <v>0</v>
      </c>
      <c r="E56" s="49">
        <f>MAX(C56:D56)</f>
        <v>0.27</v>
      </c>
      <c r="G56" s="1" t="str">
        <f>G50</f>
        <v>per 100 referrals</v>
      </c>
      <c r="L56" s="58">
        <f>IF(($E50&gt;0),L50,L49)</f>
        <v>100</v>
      </c>
      <c r="M56" s="58"/>
    </row>
    <row r="57" spans="2:18" ht="15" hidden="1" customHeight="1" x14ac:dyDescent="0.25">
      <c r="B57" s="49" t="str">
        <f>IF(($E51&gt;0),B51,B49)</f>
        <v>per 100 youth petitioned</v>
      </c>
      <c r="C57" s="49">
        <f>IF(($E51&gt;0),C51,C50)</f>
        <v>0.13</v>
      </c>
      <c r="D57" s="49">
        <f>IF(($E51&gt;0),D51,D50)</f>
        <v>0</v>
      </c>
      <c r="E57" s="49">
        <f>MAX(C57:D57)</f>
        <v>0.13</v>
      </c>
      <c r="G57" s="1" t="str">
        <f>G51</f>
        <v>per 100 youth petitioned</v>
      </c>
      <c r="L57" s="58">
        <f>IF(($E51&gt;0),L51,L50)</f>
        <v>100</v>
      </c>
      <c r="M57" s="58"/>
    </row>
    <row r="58" spans="2:18" ht="15" hidden="1" customHeight="1" x14ac:dyDescent="0.25">
      <c r="B58" s="49" t="str">
        <f>IF(($E52&gt;0),B52,B51)</f>
        <v>per 100 youth found delinquent</v>
      </c>
      <c r="C58" s="49">
        <f>IF(($E52&gt;0),C52,C51)</f>
        <v>0.12</v>
      </c>
      <c r="D58" s="49">
        <f>IF(($E52&gt;0),D52,D51)</f>
        <v>0</v>
      </c>
      <c r="E58" s="56">
        <f>MAX(C58:D58)</f>
        <v>0.12</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2.3570000000000002</v>
      </c>
      <c r="D60" s="56">
        <f>D54</f>
        <v>0</v>
      </c>
      <c r="E60" s="56">
        <f>MAX(C60:D60)</f>
        <v>2.3570000000000002</v>
      </c>
      <c r="G60" s="1" t="str">
        <f>G54</f>
        <v>per 1000 youth</v>
      </c>
      <c r="L60" s="58">
        <f>L54</f>
        <v>1000</v>
      </c>
      <c r="M60" s="58"/>
    </row>
    <row r="61" spans="2:18" ht="15" hidden="1" customHeight="1" x14ac:dyDescent="0.25">
      <c r="B61" s="49" t="str">
        <f t="shared" ref="B61:D62" si="11">IF(($E55&gt;0),B55,B54)</f>
        <v>per 100 arrests</v>
      </c>
      <c r="C61" s="49">
        <f t="shared" si="11"/>
        <v>0.03</v>
      </c>
      <c r="D61" s="49">
        <f t="shared" si="11"/>
        <v>0</v>
      </c>
      <c r="E61" s="49">
        <f>MAX(C61:D61)</f>
        <v>0.03</v>
      </c>
      <c r="G61" s="1" t="str">
        <f>G55</f>
        <v>per 100 arrests</v>
      </c>
      <c r="L61" s="58">
        <f>IF(($E55&gt;0),L55,L54)</f>
        <v>100</v>
      </c>
      <c r="M61" s="58"/>
    </row>
    <row r="62" spans="2:18" ht="15" hidden="1" customHeight="1" x14ac:dyDescent="0.25">
      <c r="B62" s="49" t="str">
        <f t="shared" si="11"/>
        <v>per 100 referrals</v>
      </c>
      <c r="C62" s="49">
        <f t="shared" si="11"/>
        <v>0.27</v>
      </c>
      <c r="D62" s="49">
        <f t="shared" si="11"/>
        <v>0</v>
      </c>
      <c r="E62" s="49">
        <f>MAX(C62:D62)</f>
        <v>0.27</v>
      </c>
      <c r="G62" s="1" t="str">
        <f>G56</f>
        <v>per 100 referrals</v>
      </c>
      <c r="L62" s="58">
        <f>IF(($E56&gt;0),L56,L55)</f>
        <v>100</v>
      </c>
      <c r="M62" s="58"/>
    </row>
    <row r="63" spans="2:18" ht="15" hidden="1" customHeight="1" x14ac:dyDescent="0.25">
      <c r="B63" s="49" t="str">
        <f>IF(($E57&gt;0),B57,B55)</f>
        <v>per 100 youth petitioned</v>
      </c>
      <c r="C63" s="49">
        <f>IF(($E57&gt;0),C57,C56)</f>
        <v>0.13</v>
      </c>
      <c r="D63" s="49">
        <f>IF(($E57&gt;0),D57,D56)</f>
        <v>0</v>
      </c>
      <c r="E63" s="49">
        <f>MAX(C63:D63)</f>
        <v>0.13</v>
      </c>
      <c r="G63" s="1" t="str">
        <f>G57</f>
        <v>per 100 youth petitioned</v>
      </c>
      <c r="L63" s="58">
        <f>IF(($E57&gt;0),L57,L56)</f>
        <v>100</v>
      </c>
      <c r="M63" s="58"/>
    </row>
    <row r="64" spans="2:18" ht="15" hidden="1" customHeight="1" x14ac:dyDescent="0.25">
      <c r="B64" s="49" t="str">
        <f>IF(($E58&gt;0),B58,B57)</f>
        <v>per 100 youth found delinquent</v>
      </c>
      <c r="C64" s="49">
        <f>IF(($E58&gt;0),C58,C57)</f>
        <v>0.12</v>
      </c>
      <c r="D64" s="49">
        <f>IF(($E58&gt;0),D58,D57)</f>
        <v>0</v>
      </c>
      <c r="E64" s="56">
        <f>MAX(C64:D64)</f>
        <v>0.12</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2.3570000000000002</v>
      </c>
      <c r="D66" s="56">
        <f>D60</f>
        <v>0</v>
      </c>
      <c r="E66" s="56">
        <f>MAX(C66:D66)</f>
        <v>2.3570000000000002</v>
      </c>
      <c r="G66" s="1" t="str">
        <f>G60</f>
        <v>per 1000 youth</v>
      </c>
      <c r="L66" s="58">
        <f>L60</f>
        <v>1000</v>
      </c>
      <c r="M66" s="58">
        <f>IF((B66=G66),1,2)</f>
        <v>1</v>
      </c>
    </row>
    <row r="67" spans="2:13" ht="15" hidden="1" customHeight="1" x14ac:dyDescent="0.25">
      <c r="B67" s="49" t="str">
        <f t="shared" ref="B67:D68" si="12">IF(($E61&gt;0),B61,B60)</f>
        <v>per 100 arrests</v>
      </c>
      <c r="C67" s="49">
        <f t="shared" si="12"/>
        <v>0.03</v>
      </c>
      <c r="D67" s="49">
        <f t="shared" si="12"/>
        <v>0</v>
      </c>
      <c r="E67" s="49">
        <f>MAX(C67:D67)</f>
        <v>0.03</v>
      </c>
      <c r="G67" s="1" t="str">
        <f>G61</f>
        <v>per 100 arrests</v>
      </c>
      <c r="L67" s="58">
        <f>IF(($E61&gt;0),L61,L60)</f>
        <v>100</v>
      </c>
      <c r="M67" s="58">
        <f>IF((B67=G67),1,2)</f>
        <v>1</v>
      </c>
    </row>
    <row r="68" spans="2:13" ht="15" hidden="1" customHeight="1" x14ac:dyDescent="0.25">
      <c r="B68" s="49" t="str">
        <f t="shared" si="12"/>
        <v>per 100 referrals</v>
      </c>
      <c r="C68" s="49">
        <f t="shared" si="12"/>
        <v>0.27</v>
      </c>
      <c r="D68" s="49">
        <f t="shared" si="12"/>
        <v>0</v>
      </c>
      <c r="E68" s="49">
        <f>MAX(C68:D68)</f>
        <v>0.27</v>
      </c>
      <c r="G68" s="1" t="str">
        <f>G62</f>
        <v>per 100 referrals</v>
      </c>
      <c r="L68" s="58">
        <f>IF(($E62&gt;0),L62,L61)</f>
        <v>100</v>
      </c>
      <c r="M68" s="58">
        <f>IF((B68=G68),1,2)</f>
        <v>1</v>
      </c>
    </row>
    <row r="69" spans="2:13" ht="15" hidden="1" customHeight="1" x14ac:dyDescent="0.25">
      <c r="B69" s="49" t="str">
        <f>IF(($E63&gt;0),B63,B61)</f>
        <v>per 100 youth petitioned</v>
      </c>
      <c r="C69" s="49">
        <f>IF(($E63&gt;0),C63,C62)</f>
        <v>0.13</v>
      </c>
      <c r="D69" s="49">
        <f>IF(($E63&gt;0),D63,D62)</f>
        <v>0</v>
      </c>
      <c r="E69" s="49">
        <f>MAX(C69:D69)</f>
        <v>0.13</v>
      </c>
      <c r="G69" s="1" t="str">
        <f>G63</f>
        <v>per 100 youth petitioned</v>
      </c>
      <c r="L69" s="58">
        <f>IF(($E63&gt;0),L63,L62)</f>
        <v>100</v>
      </c>
      <c r="M69" s="58">
        <f>IF((B69=G69),1,2)</f>
        <v>1</v>
      </c>
    </row>
    <row r="70" spans="2:13" ht="15" hidden="1" customHeight="1" x14ac:dyDescent="0.25">
      <c r="B70" s="49" t="str">
        <f>IF(($E64&gt;0),B64,B63)</f>
        <v>per 100 youth found delinquent</v>
      </c>
      <c r="C70" s="49">
        <f>IF(($E64&gt;0),C64,C63)</f>
        <v>0.12</v>
      </c>
      <c r="D70" s="49">
        <f>IF(($E64&gt;0),D64,D63)</f>
        <v>0</v>
      </c>
      <c r="E70" s="56">
        <f>MAX(C70:D70)</f>
        <v>0.12</v>
      </c>
      <c r="G70" s="1" t="str">
        <f>G64</f>
        <v>per 100 youth found delinquent</v>
      </c>
      <c r="L70" s="58">
        <f>IF(($E64&gt;0),L64,L63)</f>
        <v>100</v>
      </c>
      <c r="M70" s="58">
        <f>IF((B70=G70),1,2)</f>
        <v>1</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G7:G15">
    <cfRule type="expression" dxfId="53" priority="1" stopIfTrue="1">
      <formula>$L7=1</formula>
    </cfRule>
    <cfRule type="expression" dxfId="52" priority="2" stopIfTrue="1">
      <formula>$L7=2</formula>
    </cfRule>
    <cfRule type="expression" dxfId="51" priority="3" stopIfTrue="1">
      <formula>$L7&gt;3</formula>
    </cfRule>
  </conditionalFormatting>
  <conditionalFormatting sqref="F27">
    <cfRule type="expression" dxfId="50" priority="4" stopIfTrue="1">
      <formula>M66=2</formula>
    </cfRule>
  </conditionalFormatting>
  <conditionalFormatting sqref="F28">
    <cfRule type="expression" dxfId="49" priority="5" stopIfTrue="1">
      <formula>M67=2</formula>
    </cfRule>
  </conditionalFormatting>
  <conditionalFormatting sqref="F29">
    <cfRule type="expression" dxfId="48" priority="6" stopIfTrue="1">
      <formula>M68 = 2</formula>
    </cfRule>
  </conditionalFormatting>
  <conditionalFormatting sqref="F30">
    <cfRule type="expression" dxfId="47" priority="7" stopIfTrue="1">
      <formula>M68 = 2</formula>
    </cfRule>
  </conditionalFormatting>
  <conditionalFormatting sqref="F31">
    <cfRule type="expression" dxfId="46" priority="8" stopIfTrue="1">
      <formula>M68 = 2</formula>
    </cfRule>
  </conditionalFormatting>
  <conditionalFormatting sqref="F32:F33">
    <cfRule type="expression" dxfId="45" priority="9" stopIfTrue="1">
      <formula>M69=2</formula>
    </cfRule>
  </conditionalFormatting>
  <conditionalFormatting sqref="F34">
    <cfRule type="expression" dxfId="44" priority="10" stopIfTrue="1">
      <formula>M70 = 2</formula>
    </cfRule>
  </conditionalFormatting>
  <conditionalFormatting sqref="F35">
    <cfRule type="expression" dxfId="43" priority="11" stopIfTrue="1">
      <formula>M69=2</formula>
    </cfRule>
  </conditionalFormatting>
  <conditionalFormatting sqref="B86">
    <cfRule type="expression" dxfId="42" priority="12" stopIfTrue="1">
      <formula>$D$83= 2</formula>
    </cfRule>
  </conditionalFormatting>
  <pageMargins left="0.53" right="0.42" top="0.75" bottom="0.5" header="0" footer="0"/>
  <pageSetup orientation="portrait"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Z90"/>
  <sheetViews>
    <sheetView showGridLines="0" showRowColHeaders="0"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x14ac:dyDescent="0.25">
      <c r="B1" s="16" t="s">
        <v>29</v>
      </c>
      <c r="D1" s="20" t="s">
        <v>30</v>
      </c>
      <c r="E1" s="14"/>
      <c r="F1" s="219" t="str">
        <f>'Data Entry'!H5</f>
        <v>American Indian or Alaska Native</v>
      </c>
      <c r="G1" s="219"/>
      <c r="H1" s="219"/>
      <c r="I1" s="219"/>
      <c r="J1" s="219"/>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Emmet</v>
      </c>
      <c r="C3" s="22"/>
      <c r="D3" s="22"/>
      <c r="E3" s="22"/>
      <c r="F3" s="22"/>
      <c r="G3" s="7"/>
      <c r="H3" s="7"/>
      <c r="I3" s="7"/>
      <c r="J3" s="7"/>
      <c r="K3" s="7"/>
      <c r="N3" s="218" t="s">
        <v>31</v>
      </c>
      <c r="O3" s="218"/>
      <c r="P3" s="218"/>
      <c r="Q3" s="218"/>
      <c r="R3" s="218"/>
      <c r="S3" s="218"/>
      <c r="T3" s="218"/>
      <c r="U3" s="218"/>
    </row>
    <row r="4" spans="2:21" ht="8.2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2357</v>
      </c>
      <c r="D6" s="34"/>
      <c r="E6" s="33">
        <f>'Data Entry'!H6</f>
        <v>131</v>
      </c>
      <c r="F6" s="34"/>
      <c r="G6" s="35"/>
      <c r="H6" s="36"/>
      <c r="I6" s="37"/>
      <c r="J6" s="38"/>
      <c r="K6" s="37"/>
      <c r="L6" s="1">
        <f>IF( ('Data Entry'!H6&gt;('Data Entry'!B6/100)),1,100)</f>
        <v>1</v>
      </c>
      <c r="M6" s="1" t="s">
        <v>50</v>
      </c>
      <c r="N6" s="21"/>
      <c r="O6" s="21"/>
      <c r="P6" s="21"/>
      <c r="Q6" s="21"/>
      <c r="R6" s="21"/>
      <c r="S6" s="30"/>
      <c r="T6" s="30"/>
      <c r="U6" s="31"/>
    </row>
    <row r="7" spans="2:21" ht="18" customHeight="1" x14ac:dyDescent="0.25">
      <c r="B7" s="32" t="str">
        <f>'Data Entry'!A7</f>
        <v xml:space="preserve">2. Juvenile Arrests </v>
      </c>
      <c r="C7" s="33">
        <f>'Data Entry'!C7</f>
        <v>3</v>
      </c>
      <c r="D7" s="34">
        <f>IF((AND(C66&gt;0,C7&gt;0)),(C7/C66),0)</f>
        <v>1.2728044123886295</v>
      </c>
      <c r="E7" s="33">
        <f>'Data Entry'!H7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0</v>
      </c>
      <c r="O7" s="42">
        <f>E6-E7</f>
        <v>131</v>
      </c>
      <c r="P7" s="42">
        <f t="shared" ref="P7:P15" si="4">C7</f>
        <v>3</v>
      </c>
      <c r="Q7" s="42">
        <f>C6-C7</f>
        <v>2354</v>
      </c>
      <c r="R7" s="42">
        <f t="shared" ref="R7:R15" si="5">SUM(N7:Q7)</f>
        <v>2488</v>
      </c>
      <c r="S7" s="30">
        <f t="shared" ref="S7:S15" si="6">R7*((((N7*Q7)-(O7*P7))^2))</f>
        <v>384269112</v>
      </c>
      <c r="T7" s="30">
        <f t="shared" ref="T7:T15" si="7">(N7+O7)*(P7+Q7)*(N7+P7)*(O7+Q7)</f>
        <v>2301857985</v>
      </c>
      <c r="U7" s="31">
        <f t="shared" ref="U7:U15" si="8">IF((S7&gt;0),S7/T7,"- -")</f>
        <v>0.16693867063219367</v>
      </c>
    </row>
    <row r="8" spans="2:21" ht="18" customHeight="1" x14ac:dyDescent="0.25">
      <c r="B8" s="32" t="str">
        <f>'Data Entry'!A8</f>
        <v>3. Refer to Juvenile Court</v>
      </c>
      <c r="C8" s="33">
        <f>'Data Entry'!C8</f>
        <v>27</v>
      </c>
      <c r="D8" s="34">
        <f>IF((AND(C67&gt;0,C8&gt;0)),(C8/C67),0)</f>
        <v>900</v>
      </c>
      <c r="E8" s="33">
        <f>'Data Entry'!H8</f>
        <v>1</v>
      </c>
      <c r="F8" s="34">
        <f>IF((AND($E$8&gt;0,$D$67&gt;0)),($E8/$D67),0)</f>
        <v>0</v>
      </c>
      <c r="G8" s="39" t="str">
        <f t="shared" si="0"/>
        <v>**</v>
      </c>
      <c r="H8" s="40"/>
      <c r="I8" s="41"/>
      <c r="J8" s="40">
        <f>IF((ABS($U8)&gt;Defaults!D$7),1,2)</f>
        <v>2</v>
      </c>
      <c r="K8" s="39">
        <f>IF((AND(N8&gt;Defaults!B$12,(N8+O8)&gt;Defaults!B$13, P8 &gt; Defaults!B$12, (P8+Q8) &gt; Defaults!B$13)),1,20)</f>
        <v>20</v>
      </c>
      <c r="L8" s="1">
        <f t="shared" si="1"/>
        <v>40</v>
      </c>
      <c r="M8" s="1" t="b">
        <f t="shared" si="2"/>
        <v>1</v>
      </c>
      <c r="N8" s="42">
        <f t="shared" si="3"/>
        <v>1</v>
      </c>
      <c r="O8" s="42">
        <f>((D67*L67)-E8)+0.05</f>
        <v>-0.95</v>
      </c>
      <c r="P8" s="42">
        <f t="shared" si="4"/>
        <v>27</v>
      </c>
      <c r="Q8" s="42">
        <f>(C$67*L67)-C8</f>
        <v>-24</v>
      </c>
      <c r="R8" s="42">
        <f t="shared" si="5"/>
        <v>3.0500000000000007</v>
      </c>
      <c r="S8" s="30">
        <f t="shared" si="6"/>
        <v>8.3036249999999878</v>
      </c>
      <c r="T8" s="30">
        <f t="shared" si="7"/>
        <v>-104.79000000000009</v>
      </c>
      <c r="U8" s="31">
        <f t="shared" si="8"/>
        <v>-7.9240624105353374E-2</v>
      </c>
    </row>
    <row r="9" spans="2:21" ht="18" customHeight="1" x14ac:dyDescent="0.25">
      <c r="B9" s="32" t="str">
        <f>'Data Entry'!A9</f>
        <v xml:space="preserve">4. Cases Diverted </v>
      </c>
      <c r="C9" s="33">
        <f>'Data Entry'!C9</f>
        <v>1</v>
      </c>
      <c r="D9" s="34">
        <f>IF((AND(C68&gt;0,C9&gt;0)),((C9/C68)),0)</f>
        <v>3.7037037037037033</v>
      </c>
      <c r="E9" s="33">
        <f>'Data Entry'!H9</f>
        <v>0</v>
      </c>
      <c r="F9" s="34">
        <f>IF((AND($E$9&gt;0,$D$68&gt;0)),(($E$9/$D$68)),0)</f>
        <v>0</v>
      </c>
      <c r="G9" s="39" t="str">
        <f t="shared" si="0"/>
        <v>**</v>
      </c>
      <c r="H9" s="40"/>
      <c r="I9" s="41"/>
      <c r="J9" s="40">
        <f>IF((ABS($U9)&gt;Defaults!D$7),1,2)</f>
        <v>2</v>
      </c>
      <c r="K9" s="39">
        <f>IF((AND(N9&gt;Defaults!B$12,(N9+O9)&gt;Defaults!B$13, P9 &gt; Defaults!B$12, (P9+Q9) &gt; Defaults!B$13)),1,20)</f>
        <v>20</v>
      </c>
      <c r="L9" s="1">
        <f t="shared" si="1"/>
        <v>40</v>
      </c>
      <c r="M9" s="1" t="b">
        <f t="shared" si="2"/>
        <v>1</v>
      </c>
      <c r="N9" s="42">
        <f t="shared" si="3"/>
        <v>0</v>
      </c>
      <c r="O9" s="42">
        <f>(D$68*L68)-E9</f>
        <v>1</v>
      </c>
      <c r="P9" s="42">
        <f t="shared" si="4"/>
        <v>1</v>
      </c>
      <c r="Q9" s="42">
        <f>(C$68*L68)-C9</f>
        <v>26</v>
      </c>
      <c r="R9" s="42">
        <f t="shared" si="5"/>
        <v>28</v>
      </c>
      <c r="S9" s="30">
        <f t="shared" si="6"/>
        <v>28</v>
      </c>
      <c r="T9" s="30">
        <f t="shared" si="7"/>
        <v>729</v>
      </c>
      <c r="U9" s="31">
        <f t="shared" si="8"/>
        <v>3.8408779149519894E-2</v>
      </c>
    </row>
    <row r="10" spans="2:21" ht="18" customHeight="1" x14ac:dyDescent="0.25">
      <c r="B10" s="32" t="str">
        <f>'Data Entry'!A10</f>
        <v>5. Cases Involving Secure Detention</v>
      </c>
      <c r="C10" s="33">
        <f>'Data Entry'!C10</f>
        <v>2</v>
      </c>
      <c r="D10" s="34">
        <f>IF(((AND(C68&gt;0,C10&gt;0))),(C10/(C68)),0)</f>
        <v>7.4074074074074066</v>
      </c>
      <c r="E10" s="33">
        <f>'Data Entry'!H10</f>
        <v>0</v>
      </c>
      <c r="F10" s="34">
        <f>IF(((AND($E$10&gt;0,$D$68&gt;0))),($E$10/($D$68)),0)</f>
        <v>0</v>
      </c>
      <c r="G10" s="39" t="str">
        <f t="shared" si="0"/>
        <v>**</v>
      </c>
      <c r="H10" s="40"/>
      <c r="I10" s="41"/>
      <c r="J10" s="40">
        <f>IF((ABS($U10)&gt;Defaults!D$7),1,2)</f>
        <v>2</v>
      </c>
      <c r="K10" s="39">
        <f>IF((AND(N10&gt;Defaults!B$12,(N10+O10)&gt;Defaults!B$13, P10 &gt; Defaults!B$12, (P10+Q10) &gt; Defaults!B$13)),1,20)</f>
        <v>20</v>
      </c>
      <c r="L10" s="1">
        <f t="shared" si="1"/>
        <v>40</v>
      </c>
      <c r="M10" s="1" t="b">
        <f t="shared" si="2"/>
        <v>1</v>
      </c>
      <c r="N10" s="42">
        <f t="shared" si="3"/>
        <v>0</v>
      </c>
      <c r="O10" s="42">
        <f>(D$68*L68)-E10</f>
        <v>1</v>
      </c>
      <c r="P10" s="42">
        <f t="shared" si="4"/>
        <v>2</v>
      </c>
      <c r="Q10" s="42">
        <f>(C$68*L68)-C10</f>
        <v>25</v>
      </c>
      <c r="R10" s="42">
        <f t="shared" si="5"/>
        <v>28</v>
      </c>
      <c r="S10" s="30">
        <f t="shared" si="6"/>
        <v>112</v>
      </c>
      <c r="T10" s="30">
        <f t="shared" si="7"/>
        <v>1404</v>
      </c>
      <c r="U10" s="31">
        <f t="shared" si="8"/>
        <v>7.9772079772079771E-2</v>
      </c>
    </row>
    <row r="11" spans="2:21" ht="18" customHeight="1" x14ac:dyDescent="0.25">
      <c r="B11" s="32" t="str">
        <f>'Data Entry'!A11</f>
        <v>6. Cases Petitioned (Charge Filed)</v>
      </c>
      <c r="C11" s="33">
        <f>'Data Entry'!C11</f>
        <v>13</v>
      </c>
      <c r="D11" s="34">
        <f>IF(((AND(C68&gt;0,C11&gt;0))),(C11/(C68)),0)</f>
        <v>48.148148148148145</v>
      </c>
      <c r="E11" s="33">
        <f>'Data Entry'!H11</f>
        <v>1</v>
      </c>
      <c r="F11" s="34">
        <f>IF(((AND($E$11&gt;0,$D$68&gt;0))),($E$11/($D$68)),0)</f>
        <v>100</v>
      </c>
      <c r="G11" s="39" t="str">
        <f t="shared" si="0"/>
        <v>**</v>
      </c>
      <c r="H11" s="40"/>
      <c r="I11" s="41"/>
      <c r="J11" s="40">
        <f>IF((ABS($U11)&gt;Defaults!D$7),1,2)</f>
        <v>2</v>
      </c>
      <c r="K11" s="39">
        <f>IF((AND(N11&gt;Defaults!B$12,(N11+O11)&gt;Defaults!B$13, P11 &gt; Defaults!B$12, (P11+Q11) &gt; Defaults!B$13)),1,20)</f>
        <v>20</v>
      </c>
      <c r="L11" s="1">
        <f t="shared" si="1"/>
        <v>40</v>
      </c>
      <c r="M11" s="1" t="b">
        <f t="shared" si="2"/>
        <v>1</v>
      </c>
      <c r="N11" s="42">
        <f t="shared" si="3"/>
        <v>1</v>
      </c>
      <c r="O11" s="42">
        <f>(D$68*L68)-E11</f>
        <v>0</v>
      </c>
      <c r="P11" s="42">
        <f t="shared" si="4"/>
        <v>13</v>
      </c>
      <c r="Q11" s="42">
        <f>(C$68*L68)-C11</f>
        <v>14</v>
      </c>
      <c r="R11" s="42">
        <f t="shared" si="5"/>
        <v>28</v>
      </c>
      <c r="S11" s="30">
        <f t="shared" si="6"/>
        <v>5488</v>
      </c>
      <c r="T11" s="30">
        <f t="shared" si="7"/>
        <v>5292</v>
      </c>
      <c r="U11" s="31">
        <f t="shared" si="8"/>
        <v>1.037037037037037</v>
      </c>
    </row>
    <row r="12" spans="2:21" ht="18" customHeight="1" x14ac:dyDescent="0.25">
      <c r="B12" s="32" t="str">
        <f>'Data Entry'!A12</f>
        <v>7. Cases Resulting in Delinquent Findings</v>
      </c>
      <c r="C12" s="33">
        <f>'Data Entry'!C12</f>
        <v>12</v>
      </c>
      <c r="D12" s="34">
        <f>IF(((AND(C69&gt;0,C12&gt;0))),(C12/(C69)),0)</f>
        <v>92.307692307692307</v>
      </c>
      <c r="E12" s="33">
        <f>'Data Entry'!H12</f>
        <v>1</v>
      </c>
      <c r="F12" s="34">
        <f>IF(((AND($D$69&gt;0,$E$12&gt;0))),(E12/(D69)),0)</f>
        <v>100</v>
      </c>
      <c r="G12" s="39" t="str">
        <f t="shared" si="0"/>
        <v>**</v>
      </c>
      <c r="H12" s="40"/>
      <c r="I12" s="41"/>
      <c r="J12" s="40">
        <f>IF((ABS($U12)&gt;Defaults!D$7),1,2)</f>
        <v>2</v>
      </c>
      <c r="K12" s="39">
        <f>IF((AND(N12&gt;Defaults!B$12,(N12+O12)&gt;Defaults!B$13, P12 &gt; Defaults!B$12, (P12+Q12) &gt; Defaults!B$13)),1,20)</f>
        <v>20</v>
      </c>
      <c r="L12" s="1">
        <f t="shared" si="1"/>
        <v>40</v>
      </c>
      <c r="M12" s="1" t="b">
        <f t="shared" si="2"/>
        <v>1</v>
      </c>
      <c r="N12" s="42">
        <f t="shared" si="3"/>
        <v>1</v>
      </c>
      <c r="O12" s="42">
        <f>(D69*L69)-E12</f>
        <v>0</v>
      </c>
      <c r="P12" s="42">
        <f t="shared" si="4"/>
        <v>12</v>
      </c>
      <c r="Q12" s="42">
        <f>(C69*L69)-C12</f>
        <v>1</v>
      </c>
      <c r="R12" s="42">
        <f t="shared" si="5"/>
        <v>14</v>
      </c>
      <c r="S12" s="30">
        <f t="shared" si="6"/>
        <v>14</v>
      </c>
      <c r="T12" s="30">
        <f t="shared" si="7"/>
        <v>169</v>
      </c>
      <c r="U12" s="31">
        <f t="shared" si="8"/>
        <v>8.2840236686390539E-2</v>
      </c>
    </row>
    <row r="13" spans="2:21" ht="18" customHeight="1" x14ac:dyDescent="0.25">
      <c r="B13" s="32" t="str">
        <f>'Data Entry'!A13</f>
        <v>8. Cases Resulting in Probation Placement</v>
      </c>
      <c r="C13" s="33">
        <f>'Data Entry'!C13</f>
        <v>23</v>
      </c>
      <c r="D13" s="34">
        <f>IF(((AND(C70&gt;0,C13&gt;0))),(C13/(C70)),0)</f>
        <v>191.66666666666669</v>
      </c>
      <c r="E13" s="33">
        <f>'Data Entry'!H13</f>
        <v>1</v>
      </c>
      <c r="F13" s="34">
        <f>IF(((AND($D$70&gt;0,$E$13&gt;0))),($E$13/($D$70)),0)</f>
        <v>100</v>
      </c>
      <c r="G13" s="39" t="str">
        <f t="shared" si="0"/>
        <v>**</v>
      </c>
      <c r="H13" s="40"/>
      <c r="I13" s="41"/>
      <c r="J13" s="40">
        <f>IF((ABS($U13)&gt;Defaults!D$7),1,2)</f>
        <v>2</v>
      </c>
      <c r="K13" s="39">
        <f>IF((AND(N13&gt;Defaults!B$12,(N13+O13)&gt;Defaults!B$13, P13 &gt; Defaults!B$12, (P13+Q13) &gt; Defaults!B$13)),1,20)</f>
        <v>20</v>
      </c>
      <c r="L13" s="1">
        <f t="shared" si="1"/>
        <v>40</v>
      </c>
      <c r="M13" s="1" t="b">
        <f t="shared" si="2"/>
        <v>1</v>
      </c>
      <c r="N13" s="42">
        <f t="shared" si="3"/>
        <v>1</v>
      </c>
      <c r="O13" s="42">
        <f>(D70*L70)-E13</f>
        <v>0</v>
      </c>
      <c r="P13" s="42">
        <f t="shared" si="4"/>
        <v>23</v>
      </c>
      <c r="Q13" s="42">
        <f>(C70*L70)-C13</f>
        <v>-11</v>
      </c>
      <c r="R13" s="42">
        <f t="shared" si="5"/>
        <v>13</v>
      </c>
      <c r="S13" s="30">
        <f t="shared" si="6"/>
        <v>1573</v>
      </c>
      <c r="T13" s="30">
        <f t="shared" si="7"/>
        <v>-3168</v>
      </c>
      <c r="U13" s="31">
        <f t="shared" si="8"/>
        <v>-0.49652777777777779</v>
      </c>
    </row>
    <row r="14" spans="2:21" ht="30.75" customHeight="1" x14ac:dyDescent="0.25">
      <c r="B14" s="32" t="str">
        <f>'Data Entry'!A14</f>
        <v xml:space="preserve">9. Cases Resulting in Confinement in Secure Juvenile Correctional Facilities </v>
      </c>
      <c r="C14" s="33">
        <f>'Data Entry'!C14</f>
        <v>4</v>
      </c>
      <c r="D14" s="34">
        <f>IF(((AND(C70&gt;0,C14&gt;0))), ((C14/(C70))),0)</f>
        <v>33.333333333333336</v>
      </c>
      <c r="E14" s="33">
        <f>'Data Entry'!H14</f>
        <v>0</v>
      </c>
      <c r="F14" s="34">
        <f>IF(((AND($D$70&gt;0,$E$14&gt;0))), (($E$14/($D$70))),0)</f>
        <v>0</v>
      </c>
      <c r="G14" s="39" t="str">
        <f t="shared" si="0"/>
        <v>**</v>
      </c>
      <c r="H14" s="40"/>
      <c r="I14" s="41"/>
      <c r="J14" s="40">
        <f>IF((ABS($U14)&gt;Defaults!D$7),1,2)</f>
        <v>2</v>
      </c>
      <c r="K14" s="39">
        <f>IF((AND(N14&gt;Defaults!B$12,(N14+O14)&gt;Defaults!B$13, P14 &gt; Defaults!B$12, (P14+Q14) &gt; Defaults!B$13)),1,20)</f>
        <v>20</v>
      </c>
      <c r="L14" s="1">
        <f t="shared" si="1"/>
        <v>40</v>
      </c>
      <c r="M14" s="1" t="b">
        <f t="shared" si="2"/>
        <v>1</v>
      </c>
      <c r="N14" s="42">
        <f t="shared" si="3"/>
        <v>0</v>
      </c>
      <c r="O14" s="42">
        <f>(D70*L70)-E14</f>
        <v>1</v>
      </c>
      <c r="P14" s="42">
        <f t="shared" si="4"/>
        <v>4</v>
      </c>
      <c r="Q14" s="42">
        <f>(C70*L70)-C14</f>
        <v>8</v>
      </c>
      <c r="R14" s="42">
        <f t="shared" si="5"/>
        <v>13</v>
      </c>
      <c r="S14" s="30">
        <f t="shared" si="6"/>
        <v>208</v>
      </c>
      <c r="T14" s="30">
        <f t="shared" si="7"/>
        <v>432</v>
      </c>
      <c r="U14" s="31">
        <f t="shared" si="8"/>
        <v>0.48148148148148145</v>
      </c>
    </row>
    <row r="15" spans="2:21" ht="15.75" customHeight="1" x14ac:dyDescent="0.25">
      <c r="B15" s="32" t="str">
        <f>'Data Entry'!A15</f>
        <v xml:space="preserve">10. Cases Transferred to Adult Court </v>
      </c>
      <c r="C15" s="33">
        <f>'Data Entry'!C15</f>
        <v>0</v>
      </c>
      <c r="D15" s="34">
        <f>IF(((AND(C69&gt;0,C15&gt;0))),((C15/(C69))),0)</f>
        <v>0</v>
      </c>
      <c r="E15" s="33">
        <f>'Data Entry'!H15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1</v>
      </c>
      <c r="P15" s="42">
        <f t="shared" si="4"/>
        <v>0</v>
      </c>
      <c r="Q15" s="42">
        <f>(C69*L69)-C15</f>
        <v>13</v>
      </c>
      <c r="R15" s="42">
        <f t="shared" si="5"/>
        <v>14</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26.25" customHeight="1" x14ac:dyDescent="0.25">
      <c r="B17" s="62"/>
      <c r="C17" s="62"/>
      <c r="D17" s="62"/>
      <c r="E17" s="62"/>
      <c r="F17" s="62"/>
      <c r="G17" s="62"/>
      <c r="H17" s="62"/>
      <c r="I17" s="62"/>
      <c r="K17" s="1" t="s">
        <v>92</v>
      </c>
      <c r="L17" s="1" t="s">
        <v>93</v>
      </c>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26.25" customHeight="1" x14ac:dyDescent="0.25">
      <c r="B24" s="62"/>
      <c r="C24" s="62"/>
      <c r="D24" s="62"/>
      <c r="E24" s="62"/>
      <c r="F24" s="62"/>
      <c r="G24" s="62"/>
      <c r="H24" s="62"/>
      <c r="I24" s="62"/>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referrals</v>
      </c>
      <c r="G29" s="52"/>
      <c r="H29" s="52"/>
      <c r="I29" s="52"/>
      <c r="J29" s="52"/>
      <c r="K29" s="52"/>
      <c r="L29" s="53"/>
      <c r="R29" s="49"/>
    </row>
    <row r="30" spans="2:21" ht="15" customHeight="1" x14ac:dyDescent="0.25">
      <c r="B30" s="52" t="s">
        <v>73</v>
      </c>
      <c r="C30" s="52"/>
      <c r="D30" s="52"/>
      <c r="E30" s="52"/>
      <c r="F30" s="52" t="str">
        <f>B68</f>
        <v>per 100 referrals</v>
      </c>
      <c r="G30" s="52"/>
      <c r="H30" s="52"/>
      <c r="I30" s="52"/>
      <c r="J30" s="52"/>
      <c r="K30" s="52"/>
      <c r="L30" s="53"/>
      <c r="N30" s="1" t="b">
        <f>ISNUMBER(J14)</f>
        <v>1</v>
      </c>
      <c r="R30" s="49"/>
    </row>
    <row r="31" spans="2:21" ht="15" customHeight="1" x14ac:dyDescent="0.25">
      <c r="B31" s="52" t="s">
        <v>74</v>
      </c>
      <c r="C31" s="52"/>
      <c r="D31" s="52"/>
      <c r="E31" s="52"/>
      <c r="F31" s="52" t="str">
        <f>B68</f>
        <v>per 100 referrals</v>
      </c>
      <c r="G31" s="52"/>
      <c r="H31" s="52"/>
      <c r="I31" s="52"/>
      <c r="J31" s="52"/>
      <c r="K31" s="52"/>
      <c r="L31" s="53"/>
      <c r="R31" s="49"/>
    </row>
    <row r="32" spans="2:21" ht="15" customHeight="1" x14ac:dyDescent="0.25">
      <c r="B32" s="52" t="s">
        <v>75</v>
      </c>
      <c r="C32" s="52"/>
      <c r="D32" s="52"/>
      <c r="E32" s="52"/>
      <c r="F32" s="52" t="str">
        <f>B69</f>
        <v>per 100 youth petitioned</v>
      </c>
      <c r="G32" s="52"/>
      <c r="H32" s="52"/>
      <c r="I32" s="52"/>
      <c r="J32" s="52"/>
      <c r="K32" s="52"/>
      <c r="L32" s="53"/>
      <c r="R32" s="49"/>
    </row>
    <row r="33" spans="2:18" ht="15" customHeight="1" x14ac:dyDescent="0.25">
      <c r="B33" s="52" t="s">
        <v>76</v>
      </c>
      <c r="C33" s="52"/>
      <c r="D33" s="52"/>
      <c r="E33" s="52"/>
      <c r="F33" s="52" t="str">
        <f>B70</f>
        <v>per 100 youth found delinquent</v>
      </c>
      <c r="G33" s="52"/>
      <c r="H33" s="52"/>
      <c r="I33" s="52"/>
      <c r="J33" s="52"/>
      <c r="K33" s="52"/>
      <c r="L33" s="53"/>
      <c r="R33" s="49"/>
    </row>
    <row r="34" spans="2:18" ht="15" customHeight="1" x14ac:dyDescent="0.25">
      <c r="B34" s="52" t="s">
        <v>77</v>
      </c>
      <c r="C34" s="52"/>
      <c r="D34" s="52"/>
      <c r="E34" s="52"/>
      <c r="F34" s="52" t="str">
        <f>B70</f>
        <v>per 100 youth found delinquent</v>
      </c>
      <c r="G34" s="52"/>
      <c r="H34" s="52"/>
      <c r="I34" s="52"/>
      <c r="J34" s="52"/>
      <c r="K34" s="52"/>
      <c r="L34" s="53"/>
      <c r="R34" s="49"/>
    </row>
    <row r="35" spans="2:18" ht="15" customHeight="1" x14ac:dyDescent="0.25">
      <c r="B35" s="52" t="s">
        <v>78</v>
      </c>
      <c r="C35" s="52"/>
      <c r="D35" s="52"/>
      <c r="E35" s="52"/>
      <c r="F35" s="52" t="str">
        <f>B69</f>
        <v>per 100 youth petitioned</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2.3570000000000002</v>
      </c>
      <c r="D42" s="56">
        <f>E6/1000</f>
        <v>0.13100000000000001</v>
      </c>
      <c r="E42" s="56">
        <f>MAX(C42:D42)</f>
        <v>2.3570000000000002</v>
      </c>
      <c r="G42" s="1" t="str">
        <f>B42</f>
        <v>per 1000 youth</v>
      </c>
      <c r="L42" s="57">
        <v>1000</v>
      </c>
      <c r="M42" s="57"/>
      <c r="R42" s="49"/>
    </row>
    <row r="43" spans="2:18" ht="15" hidden="1" customHeight="1" x14ac:dyDescent="0.25">
      <c r="B43" s="49" t="s">
        <v>87</v>
      </c>
      <c r="C43" s="56">
        <f>C7/100</f>
        <v>0.03</v>
      </c>
      <c r="D43" s="56">
        <f>E7/100</f>
        <v>0</v>
      </c>
      <c r="E43" s="56">
        <f>MAX(C43:D43,0)</f>
        <v>0.03</v>
      </c>
      <c r="G43" s="1" t="str">
        <f>B43</f>
        <v>per 100 arrests</v>
      </c>
      <c r="L43" s="57">
        <v>100</v>
      </c>
      <c r="M43" s="57"/>
      <c r="R43" s="49"/>
    </row>
    <row r="44" spans="2:18" ht="15" hidden="1" customHeight="1" x14ac:dyDescent="0.25">
      <c r="B44" s="49" t="s">
        <v>88</v>
      </c>
      <c r="C44" s="56">
        <f>C8/100</f>
        <v>0.27</v>
      </c>
      <c r="D44" s="56">
        <f>E8/100</f>
        <v>0.01</v>
      </c>
      <c r="E44" s="56">
        <f>MAX(C44:D44,0)</f>
        <v>0.27</v>
      </c>
      <c r="G44" s="1" t="str">
        <f>B44</f>
        <v>per 100 referrals</v>
      </c>
      <c r="L44" s="57">
        <v>100</v>
      </c>
      <c r="M44" s="57"/>
      <c r="R44" s="49"/>
    </row>
    <row r="45" spans="2:18" ht="15" hidden="1" customHeight="1" x14ac:dyDescent="0.25">
      <c r="B45" s="49" t="s">
        <v>89</v>
      </c>
      <c r="C45" s="49">
        <f>C11/100</f>
        <v>0.13</v>
      </c>
      <c r="D45" s="49">
        <f>E11/100</f>
        <v>0.01</v>
      </c>
      <c r="E45" s="56">
        <f>MAX(C45:D45,0)</f>
        <v>0.13</v>
      </c>
      <c r="G45" s="1" t="str">
        <f>B45</f>
        <v>per 100 youth petitioned</v>
      </c>
      <c r="L45" s="57">
        <v>100</v>
      </c>
      <c r="M45" s="57"/>
      <c r="R45" s="49"/>
    </row>
    <row r="46" spans="2:18" ht="15" hidden="1" customHeight="1" x14ac:dyDescent="0.25">
      <c r="B46" s="49" t="s">
        <v>90</v>
      </c>
      <c r="C46" s="49">
        <f>C12/100</f>
        <v>0.12</v>
      </c>
      <c r="D46" s="49">
        <f>E12/100</f>
        <v>0.01</v>
      </c>
      <c r="E46" s="56">
        <f>MAX(C46:D46)</f>
        <v>0.12</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2.3570000000000002</v>
      </c>
      <c r="D48" s="56">
        <f>D42</f>
        <v>0.13100000000000001</v>
      </c>
      <c r="E48" s="56">
        <f>MAX(C48:D48)</f>
        <v>2.3570000000000002</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 t="shared" si="9"/>
        <v>0.03</v>
      </c>
      <c r="D49" s="49">
        <f t="shared" si="9"/>
        <v>0</v>
      </c>
      <c r="E49" s="49">
        <f>MAX(C49:D49)</f>
        <v>0.03</v>
      </c>
      <c r="G49" s="1" t="str">
        <f>G43</f>
        <v>per 100 arrests</v>
      </c>
      <c r="L49" s="58">
        <f>IF(($E43&gt;0),L43,L42)</f>
        <v>100</v>
      </c>
      <c r="M49" s="58"/>
      <c r="N49" s="21"/>
      <c r="O49" s="21"/>
      <c r="P49" s="21"/>
      <c r="Q49" s="21"/>
      <c r="R49" s="21"/>
    </row>
    <row r="50" spans="2:18" ht="15" hidden="1" customHeight="1" x14ac:dyDescent="0.25">
      <c r="B50" s="49" t="str">
        <f t="shared" si="9"/>
        <v>per 100 referrals</v>
      </c>
      <c r="C50" s="49">
        <f t="shared" si="9"/>
        <v>0.27</v>
      </c>
      <c r="D50" s="49">
        <f t="shared" si="9"/>
        <v>0.01</v>
      </c>
      <c r="E50" s="49">
        <f>MAX(C50:D50)</f>
        <v>0.27</v>
      </c>
      <c r="G50" s="1" t="str">
        <f>G44</f>
        <v>per 100 referrals</v>
      </c>
      <c r="L50" s="58">
        <f>IF(($E44&gt;0),L44,L43)</f>
        <v>100</v>
      </c>
      <c r="M50" s="58"/>
      <c r="N50" s="21"/>
      <c r="O50" s="21"/>
      <c r="P50" s="21"/>
      <c r="Q50" s="21"/>
      <c r="R50" s="21"/>
    </row>
    <row r="51" spans="2:18" ht="15" hidden="1" customHeight="1" x14ac:dyDescent="0.25">
      <c r="B51" s="49" t="str">
        <f>IF(($E45&gt;0),B45,B43)</f>
        <v>per 100 youth petitioned</v>
      </c>
      <c r="C51" s="49">
        <f>IF(($E45&gt;0),C45,C44)</f>
        <v>0.13</v>
      </c>
      <c r="D51" s="49">
        <f>IF(($E45&gt;0),D45,D44)</f>
        <v>0.01</v>
      </c>
      <c r="E51" s="49">
        <f>MAX(C51:D51)</f>
        <v>0.13</v>
      </c>
      <c r="G51" s="1" t="str">
        <f>G45</f>
        <v>per 100 youth petitioned</v>
      </c>
      <c r="L51" s="58">
        <f>IF(($E45&gt;0),L45,L44)</f>
        <v>100</v>
      </c>
      <c r="M51" s="58"/>
    </row>
    <row r="52" spans="2:18" ht="15" hidden="1" customHeight="1" x14ac:dyDescent="0.25">
      <c r="B52" s="49" t="str">
        <f>IF(($E46&gt;0),B46,B45)</f>
        <v>per 100 youth found delinquent</v>
      </c>
      <c r="C52" s="49">
        <f>IF(($E46&gt;0),C46,C45)</f>
        <v>0.12</v>
      </c>
      <c r="D52" s="49">
        <f>IF(($E46&gt;0),D46,D45)</f>
        <v>0.01</v>
      </c>
      <c r="E52" s="56">
        <f>MAX(C52:D52)</f>
        <v>0.12</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2.3570000000000002</v>
      </c>
      <c r="D54" s="56">
        <f>D48</f>
        <v>0.13100000000000001</v>
      </c>
      <c r="E54" s="56">
        <f>MAX(C54:D54)</f>
        <v>2.3570000000000002</v>
      </c>
      <c r="G54" s="1" t="str">
        <f>G48</f>
        <v>per 1000 youth</v>
      </c>
      <c r="L54" s="58">
        <f>L48</f>
        <v>1000</v>
      </c>
      <c r="M54" s="58"/>
    </row>
    <row r="55" spans="2:18" ht="15" hidden="1" customHeight="1" x14ac:dyDescent="0.25">
      <c r="B55" s="49" t="str">
        <f t="shared" ref="B55:D56" si="10">IF(($E49&gt;0),B49,B48)</f>
        <v>per 100 arrests</v>
      </c>
      <c r="C55" s="49">
        <f t="shared" si="10"/>
        <v>0.03</v>
      </c>
      <c r="D55" s="49">
        <f t="shared" si="10"/>
        <v>0</v>
      </c>
      <c r="E55" s="49">
        <f>MAX(C55:D55)</f>
        <v>0.03</v>
      </c>
      <c r="G55" s="1" t="str">
        <f>G49</f>
        <v>per 100 arrests</v>
      </c>
      <c r="L55" s="58">
        <f>IF(($E49&gt;0),L49,L48)</f>
        <v>100</v>
      </c>
      <c r="M55" s="58"/>
    </row>
    <row r="56" spans="2:18" ht="15" hidden="1" customHeight="1" x14ac:dyDescent="0.25">
      <c r="B56" s="49" t="str">
        <f t="shared" si="10"/>
        <v>per 100 referrals</v>
      </c>
      <c r="C56" s="49">
        <f t="shared" si="10"/>
        <v>0.27</v>
      </c>
      <c r="D56" s="49">
        <f t="shared" si="10"/>
        <v>0.01</v>
      </c>
      <c r="E56" s="49">
        <f>MAX(C56:D56)</f>
        <v>0.27</v>
      </c>
      <c r="G56" s="1" t="str">
        <f>G50</f>
        <v>per 100 referrals</v>
      </c>
      <c r="L56" s="58">
        <f>IF(($E50&gt;0),L50,L49)</f>
        <v>100</v>
      </c>
      <c r="M56" s="58"/>
    </row>
    <row r="57" spans="2:18" ht="15" hidden="1" customHeight="1" x14ac:dyDescent="0.25">
      <c r="B57" s="49" t="str">
        <f>IF(($E51&gt;0),B51,B49)</f>
        <v>per 100 youth petitioned</v>
      </c>
      <c r="C57" s="49">
        <f>IF(($E51&gt;0),C51,C50)</f>
        <v>0.13</v>
      </c>
      <c r="D57" s="49">
        <f>IF(($E51&gt;0),D51,D50)</f>
        <v>0.01</v>
      </c>
      <c r="E57" s="49">
        <f>MAX(C57:D57)</f>
        <v>0.13</v>
      </c>
      <c r="G57" s="1" t="str">
        <f>G51</f>
        <v>per 100 youth petitioned</v>
      </c>
      <c r="L57" s="58">
        <f>IF(($E51&gt;0),L51,L50)</f>
        <v>100</v>
      </c>
      <c r="M57" s="58"/>
    </row>
    <row r="58" spans="2:18" ht="15" hidden="1" customHeight="1" x14ac:dyDescent="0.25">
      <c r="B58" s="49" t="str">
        <f>IF(($E52&gt;0),B52,B51)</f>
        <v>per 100 youth found delinquent</v>
      </c>
      <c r="C58" s="49">
        <f>IF(($E52&gt;0),C52,C51)</f>
        <v>0.12</v>
      </c>
      <c r="D58" s="49">
        <f>IF(($E52&gt;0),D52,D51)</f>
        <v>0.01</v>
      </c>
      <c r="E58" s="56">
        <f>MAX(C58:D58)</f>
        <v>0.12</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2.3570000000000002</v>
      </c>
      <c r="D60" s="56">
        <f>D54</f>
        <v>0.13100000000000001</v>
      </c>
      <c r="E60" s="56">
        <f>MAX(C60:D60)</f>
        <v>2.3570000000000002</v>
      </c>
      <c r="G60" s="1" t="str">
        <f>G54</f>
        <v>per 1000 youth</v>
      </c>
      <c r="L60" s="58">
        <f>L54</f>
        <v>1000</v>
      </c>
      <c r="M60" s="58"/>
    </row>
    <row r="61" spans="2:18" ht="15" hidden="1" customHeight="1" x14ac:dyDescent="0.25">
      <c r="B61" s="49" t="str">
        <f t="shared" ref="B61:D62" si="11">IF(($E55&gt;0),B55,B54)</f>
        <v>per 100 arrests</v>
      </c>
      <c r="C61" s="49">
        <f t="shared" si="11"/>
        <v>0.03</v>
      </c>
      <c r="D61" s="49">
        <f t="shared" si="11"/>
        <v>0</v>
      </c>
      <c r="E61" s="49">
        <f>MAX(C61:D61)</f>
        <v>0.03</v>
      </c>
      <c r="G61" s="1" t="str">
        <f>G55</f>
        <v>per 100 arrests</v>
      </c>
      <c r="L61" s="58">
        <f>IF(($E55&gt;0),L55,L54)</f>
        <v>100</v>
      </c>
      <c r="M61" s="58"/>
    </row>
    <row r="62" spans="2:18" ht="15" hidden="1" customHeight="1" x14ac:dyDescent="0.25">
      <c r="B62" s="49" t="str">
        <f t="shared" si="11"/>
        <v>per 100 referrals</v>
      </c>
      <c r="C62" s="49">
        <f t="shared" si="11"/>
        <v>0.27</v>
      </c>
      <c r="D62" s="49">
        <f t="shared" si="11"/>
        <v>0.01</v>
      </c>
      <c r="E62" s="49">
        <f>MAX(C62:D62)</f>
        <v>0.27</v>
      </c>
      <c r="G62" s="1" t="str">
        <f>G56</f>
        <v>per 100 referrals</v>
      </c>
      <c r="L62" s="58">
        <f>IF(($E56&gt;0),L56,L55)</f>
        <v>100</v>
      </c>
      <c r="M62" s="58"/>
    </row>
    <row r="63" spans="2:18" ht="15" hidden="1" customHeight="1" x14ac:dyDescent="0.25">
      <c r="B63" s="49" t="str">
        <f>IF(($E57&gt;0),B57,B55)</f>
        <v>per 100 youth petitioned</v>
      </c>
      <c r="C63" s="49">
        <f>IF(($E57&gt;0),C57,C56)</f>
        <v>0.13</v>
      </c>
      <c r="D63" s="49">
        <f>IF(($E57&gt;0),D57,D56)</f>
        <v>0.01</v>
      </c>
      <c r="E63" s="49">
        <f>MAX(C63:D63)</f>
        <v>0.13</v>
      </c>
      <c r="G63" s="1" t="str">
        <f>G57</f>
        <v>per 100 youth petitioned</v>
      </c>
      <c r="L63" s="58">
        <f>IF(($E57&gt;0),L57,L56)</f>
        <v>100</v>
      </c>
      <c r="M63" s="58"/>
    </row>
    <row r="64" spans="2:18" ht="15" hidden="1" customHeight="1" x14ac:dyDescent="0.25">
      <c r="B64" s="49" t="str">
        <f>IF(($E58&gt;0),B58,B57)</f>
        <v>per 100 youth found delinquent</v>
      </c>
      <c r="C64" s="49">
        <f>IF(($E58&gt;0),C58,C57)</f>
        <v>0.12</v>
      </c>
      <c r="D64" s="49">
        <f>IF(($E58&gt;0),D58,D57)</f>
        <v>0.01</v>
      </c>
      <c r="E64" s="56">
        <f>MAX(C64:D64)</f>
        <v>0.12</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2.3570000000000002</v>
      </c>
      <c r="D66" s="56">
        <f>D60</f>
        <v>0.13100000000000001</v>
      </c>
      <c r="E66" s="56">
        <f>MAX(C66:D66)</f>
        <v>2.3570000000000002</v>
      </c>
      <c r="G66" s="1" t="str">
        <f>G60</f>
        <v>per 1000 youth</v>
      </c>
      <c r="L66" s="58">
        <f>L60</f>
        <v>1000</v>
      </c>
      <c r="M66" s="58">
        <f>IF((B66=G66),1,2)</f>
        <v>1</v>
      </c>
    </row>
    <row r="67" spans="2:13" ht="15" hidden="1" customHeight="1" x14ac:dyDescent="0.25">
      <c r="B67" s="49" t="str">
        <f t="shared" ref="B67:D68" si="12">IF(($E61&gt;0),B61,B60)</f>
        <v>per 100 arrests</v>
      </c>
      <c r="C67" s="49">
        <f t="shared" si="12"/>
        <v>0.03</v>
      </c>
      <c r="D67" s="49">
        <f t="shared" si="12"/>
        <v>0</v>
      </c>
      <c r="E67" s="49">
        <f>MAX(C67:D67)</f>
        <v>0.03</v>
      </c>
      <c r="G67" s="1" t="str">
        <f>G61</f>
        <v>per 100 arrests</v>
      </c>
      <c r="L67" s="58">
        <f>IF(($E61&gt;0),L61,L60)</f>
        <v>100</v>
      </c>
      <c r="M67" s="58">
        <f>IF((B67=G67),1,2)</f>
        <v>1</v>
      </c>
    </row>
    <row r="68" spans="2:13" ht="15" hidden="1" customHeight="1" x14ac:dyDescent="0.25">
      <c r="B68" s="49" t="str">
        <f t="shared" si="12"/>
        <v>per 100 referrals</v>
      </c>
      <c r="C68" s="49">
        <f t="shared" si="12"/>
        <v>0.27</v>
      </c>
      <c r="D68" s="49">
        <f t="shared" si="12"/>
        <v>0.01</v>
      </c>
      <c r="E68" s="49">
        <f>MAX(C68:D68)</f>
        <v>0.27</v>
      </c>
      <c r="G68" s="1" t="str">
        <f>G62</f>
        <v>per 100 referrals</v>
      </c>
      <c r="L68" s="58">
        <f>IF(($E62&gt;0),L62,L61)</f>
        <v>100</v>
      </c>
      <c r="M68" s="58">
        <f>IF((B68=G68),1,2)</f>
        <v>1</v>
      </c>
    </row>
    <row r="69" spans="2:13" ht="15" hidden="1" customHeight="1" x14ac:dyDescent="0.25">
      <c r="B69" s="49" t="str">
        <f>IF(($E63&gt;0),B63,B61)</f>
        <v>per 100 youth petitioned</v>
      </c>
      <c r="C69" s="49">
        <f>IF(($E63&gt;0),C63,C62)</f>
        <v>0.13</v>
      </c>
      <c r="D69" s="49">
        <f>IF(($E63&gt;0),D63,D62)</f>
        <v>0.01</v>
      </c>
      <c r="E69" s="49">
        <f>MAX(C69:D69)</f>
        <v>0.13</v>
      </c>
      <c r="G69" s="1" t="str">
        <f>G63</f>
        <v>per 100 youth petitioned</v>
      </c>
      <c r="L69" s="58">
        <f>IF(($E63&gt;0),L63,L62)</f>
        <v>100</v>
      </c>
      <c r="M69" s="58">
        <f>IF((B69=G69),1,2)</f>
        <v>1</v>
      </c>
    </row>
    <row r="70" spans="2:13" ht="15" hidden="1" customHeight="1" x14ac:dyDescent="0.25">
      <c r="B70" s="49" t="str">
        <f>IF(($E64&gt;0),B64,B63)</f>
        <v>per 100 youth found delinquent</v>
      </c>
      <c r="C70" s="49">
        <f>IF(($E64&gt;0),C64,C63)</f>
        <v>0.12</v>
      </c>
      <c r="D70" s="49">
        <f>IF(($E64&gt;0),D64,D63)</f>
        <v>0.01</v>
      </c>
      <c r="E70" s="56">
        <f>MAX(C70:D70)</f>
        <v>0.12</v>
      </c>
      <c r="G70" s="1" t="str">
        <f>G64</f>
        <v>per 100 youth found delinquent</v>
      </c>
      <c r="L70" s="58">
        <f>IF(($E64&gt;0),L64,L63)</f>
        <v>100</v>
      </c>
      <c r="M70" s="58">
        <f>IF((B70=G70),1,2)</f>
        <v>1</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F35">
    <cfRule type="expression" dxfId="41" priority="1" stopIfTrue="1">
      <formula>M69=2</formula>
    </cfRule>
  </conditionalFormatting>
  <conditionalFormatting sqref="G7:G15">
    <cfRule type="expression" dxfId="40" priority="2" stopIfTrue="1">
      <formula>$L7=1</formula>
    </cfRule>
    <cfRule type="expression" dxfId="39" priority="3" stopIfTrue="1">
      <formula>$L7=2</formula>
    </cfRule>
    <cfRule type="expression" dxfId="38" priority="4" stopIfTrue="1">
      <formula>$L7&gt;3</formula>
    </cfRule>
  </conditionalFormatting>
  <conditionalFormatting sqref="F27">
    <cfRule type="expression" dxfId="37" priority="5" stopIfTrue="1">
      <formula>M66=2</formula>
    </cfRule>
  </conditionalFormatting>
  <conditionalFormatting sqref="F28">
    <cfRule type="expression" dxfId="36" priority="6" stopIfTrue="1">
      <formula>M67=2</formula>
    </cfRule>
  </conditionalFormatting>
  <conditionalFormatting sqref="F29">
    <cfRule type="expression" dxfId="35" priority="7" stopIfTrue="1">
      <formula>M68 = 2</formula>
    </cfRule>
  </conditionalFormatting>
  <conditionalFormatting sqref="F30">
    <cfRule type="expression" dxfId="34" priority="8" stopIfTrue="1">
      <formula>M68 = 2</formula>
    </cfRule>
  </conditionalFormatting>
  <conditionalFormatting sqref="F31">
    <cfRule type="expression" dxfId="33" priority="9" stopIfTrue="1">
      <formula>M68 = 2</formula>
    </cfRule>
  </conditionalFormatting>
  <conditionalFormatting sqref="F32:F33">
    <cfRule type="expression" dxfId="32" priority="10" stopIfTrue="1">
      <formula>M69=2</formula>
    </cfRule>
  </conditionalFormatting>
  <conditionalFormatting sqref="F34">
    <cfRule type="expression" dxfId="31" priority="11" stopIfTrue="1">
      <formula>M70 = 2</formula>
    </cfRule>
  </conditionalFormatting>
  <conditionalFormatting sqref="B86">
    <cfRule type="expression" dxfId="30" priority="12" stopIfTrue="1">
      <formula>$D$83= 2</formula>
    </cfRule>
  </conditionalFormatting>
  <pageMargins left="0.53" right="0.42" top="0.75" bottom="0.5" header="0" footer="0"/>
  <pageSetup orientation="portrait" horizontalDpi="300" verticalDpi="3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8D3F7F84565CF41B35DC7D6B5A0155B" ma:contentTypeVersion="11" ma:contentTypeDescription="Create a new document." ma:contentTypeScope="" ma:versionID="cffc871bf9337c5ba00f76dae1b2ceae">
  <xsd:schema xmlns:xsd="http://www.w3.org/2001/XMLSchema" xmlns:xs="http://www.w3.org/2001/XMLSchema" xmlns:p="http://schemas.microsoft.com/office/2006/metadata/properties" xmlns:ns2="ac3811b5-0f3e-49e2-ba69-f2ffa0c782af" xmlns:ns3="738f5db5-75d9-4d31-a801-79680892ab9e" targetNamespace="http://schemas.microsoft.com/office/2006/metadata/properties" ma:root="true" ma:fieldsID="a160d36e9b67ff32ec5114995ddf2032" ns2:_="" ns3:_="">
    <xsd:import namespace="ac3811b5-0f3e-49e2-ba69-f2ffa0c782af"/>
    <xsd:import namespace="738f5db5-75d9-4d31-a801-79680892ab9e"/>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AutoKeyPoints" minOccurs="0"/>
                <xsd:element ref="ns3:MediaServiceKeyPoints" minOccurs="0"/>
                <xsd:element ref="ns2:SharedWithUsers" minOccurs="0"/>
                <xsd:element ref="ns2:SharedWithDetails" minOccurs="0"/>
                <xsd:element ref="ns3:MediaServiceAuto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3811b5-0f3e-49e2-ba69-f2ffa0c782af"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38f5db5-75d9-4d31-a801-79680892ab9e"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7" nillable="true" ma:displayName="Tags" ma:internalName="MediaServiceAutoTag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_dlc_DocId xmlns="ac3811b5-0f3e-49e2-ba69-f2ffa0c782af">U47JMPN4QEAR-1806752177-30168</_dlc_DocId>
    <_dlc_DocIdUrl xmlns="ac3811b5-0f3e-49e2-ba69-f2ffa0c782af">
      <Url>https://michiganphi.sharepoint.com/sites/CMDMC/_layouts/15/DocIdRedir.aspx?ID=U47JMPN4QEAR-1806752177-30168</Url>
      <Description>U47JMPN4QEAR-1806752177-30168</Description>
    </_dlc_DocIdUrl>
  </documentManagement>
</p:properties>
</file>

<file path=customXml/itemProps1.xml><?xml version="1.0" encoding="utf-8"?>
<ds:datastoreItem xmlns:ds="http://schemas.openxmlformats.org/officeDocument/2006/customXml" ds:itemID="{0ADD4F94-DE67-4AF3-B68C-FFA045BB10B6}"/>
</file>

<file path=customXml/itemProps2.xml><?xml version="1.0" encoding="utf-8"?>
<ds:datastoreItem xmlns:ds="http://schemas.openxmlformats.org/officeDocument/2006/customXml" ds:itemID="{BC2ED024-BB3B-40E5-AE2F-688CCCD34097}"/>
</file>

<file path=customXml/itemProps3.xml><?xml version="1.0" encoding="utf-8"?>
<ds:datastoreItem xmlns:ds="http://schemas.openxmlformats.org/officeDocument/2006/customXml" ds:itemID="{11A230F8-CBE0-4D5B-858E-76545E006EDB}"/>
</file>

<file path=customXml/itemProps4.xml><?xml version="1.0" encoding="utf-8"?>
<ds:datastoreItem xmlns:ds="http://schemas.openxmlformats.org/officeDocument/2006/customXml" ds:itemID="{CA7D7CE6-EFFA-4586-81B0-BB81F9205B0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5</vt:i4>
      </vt:variant>
    </vt:vector>
  </HeadingPairs>
  <TitlesOfParts>
    <vt:vector size="19" baseType="lpstr">
      <vt:lpstr>Data Entry</vt:lpstr>
      <vt:lpstr>Standard Display</vt:lpstr>
      <vt:lpstr>Stacked 100%</vt:lpstr>
      <vt:lpstr>Narrow Display</vt:lpstr>
      <vt:lpstr>Black or African-American</vt:lpstr>
      <vt:lpstr>Asian</vt:lpstr>
      <vt:lpstr>Hispanic</vt:lpstr>
      <vt:lpstr>Hawaiian</vt:lpstr>
      <vt:lpstr>Am Indian</vt:lpstr>
      <vt:lpstr>Other - Mixed</vt:lpstr>
      <vt:lpstr>All Minorities</vt:lpstr>
      <vt:lpstr>Summary</vt:lpstr>
      <vt:lpstr>Population based rates</vt:lpstr>
      <vt:lpstr>Defaults</vt:lpstr>
      <vt:lpstr>'Data Entry'!_GoBack</vt:lpstr>
      <vt:lpstr>'Narrow Display'!Print_Area</vt:lpstr>
      <vt:lpstr>'Population based rates'!Print_Area</vt:lpstr>
      <vt:lpstr>'Standard Display'!Print_Area</vt:lpstr>
      <vt:lpstr>Summary!Print_Area</vt:lpstr>
    </vt:vector>
  </TitlesOfParts>
  <Company>OGSR  - Portland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DMC Relative Rate Index</dc:title>
  <dc:creator>Daniel Fitzpatrick</dc:creator>
  <cp:lastModifiedBy>Robb Burroughs</cp:lastModifiedBy>
  <cp:lastPrinted>2013-05-09T15:54:08Z</cp:lastPrinted>
  <dcterms:created xsi:type="dcterms:W3CDTF">2002-11-18T06:04:28Z</dcterms:created>
  <dcterms:modified xsi:type="dcterms:W3CDTF">2022-10-03T19:52:00Z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0x01010048D3F7F84565CF41B35DC7D6B5A0155B</vt:lpwstr>
  </property>
  <property fmtid="{D5CDD505-2E9C-101B-9397-08002B2CF9AE}" pid="3" name="_dlc_DocIdItemGuid">
    <vt:lpwstr>ec2024f0-008c-4867-b74d-fdd5c09369d9</vt:lpwstr>
  </property>
</Properties>
</file>