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EF387689-6E59-4A1C-A576-5915C7547F45}" xr6:coauthVersionLast="47" xr6:coauthVersionMax="47" xr10:uidLastSave="{EC330FB5-8169-45A4-9956-38EA8B43C74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7"/>
  <c r="F27" i="7"/>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4" i="6"/>
  <c r="L50" i="6" s="1"/>
  <c r="E43" i="7"/>
  <c r="C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D50"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C64" i="5"/>
  <c r="L64" i="3"/>
  <c r="L56" i="8"/>
  <c r="B56" i="8"/>
  <c r="C57"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8" s="1"/>
  <c r="E64" i="5"/>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B70" i="5" l="1"/>
  <c r="F33" i="5" s="1"/>
  <c r="C70" i="5"/>
  <c r="D13" i="5" s="1"/>
  <c r="D70" i="5"/>
  <c r="F14" i="5" s="1"/>
  <c r="B70" i="3"/>
  <c r="M70" i="3" s="1"/>
  <c r="D63" i="8"/>
  <c r="D70" i="8" s="1"/>
  <c r="F13" i="8" s="1"/>
  <c r="D70" i="6"/>
  <c r="F13" i="6" s="1"/>
  <c r="C69" i="7"/>
  <c r="D12" i="7" s="1"/>
  <c r="L69" i="7"/>
  <c r="C63" i="8"/>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Q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O13" i="5"/>
  <c r="F33" i="3"/>
  <c r="D14" i="5"/>
  <c r="F13" i="5"/>
  <c r="F34" i="3"/>
  <c r="D69" i="3"/>
  <c r="E69" i="3" s="1"/>
  <c r="B69" i="6"/>
  <c r="M69" i="6" s="1"/>
  <c r="E63" i="8"/>
  <c r="D69" i="8" s="1"/>
  <c r="F12" i="8" s="1"/>
  <c r="D12" i="3"/>
  <c r="Q13" i="8"/>
  <c r="O14" i="6"/>
  <c r="F14" i="6"/>
  <c r="E70" i="6"/>
  <c r="D15" i="7"/>
  <c r="Q15" i="7"/>
  <c r="Q12" i="7"/>
  <c r="D13" i="6"/>
  <c r="D13" i="3"/>
  <c r="E69" i="7"/>
  <c r="O13" i="6"/>
  <c r="E70" i="3"/>
  <c r="L69" i="3"/>
  <c r="Q12" i="3" s="1"/>
  <c r="F14" i="3"/>
  <c r="O13" i="3"/>
  <c r="B69" i="3"/>
  <c r="M69" i="3" s="1"/>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F35" i="6"/>
  <c r="F15" i="8"/>
  <c r="C69" i="8"/>
  <c r="D12" i="8" s="1"/>
  <c r="L69" i="8"/>
  <c r="O15" i="8" s="1"/>
  <c r="F32" i="6"/>
  <c r="B69" i="8"/>
  <c r="M69" i="8" s="1"/>
  <c r="T15" i="7"/>
  <c r="R13" i="8"/>
  <c r="S13" i="8" s="1"/>
  <c r="K13" i="3"/>
  <c r="T13" i="6"/>
  <c r="R14" i="3"/>
  <c r="S14" i="3" s="1"/>
  <c r="U14" i="3" s="1"/>
  <c r="J14" i="3" s="1"/>
  <c r="M14" i="3" s="1"/>
  <c r="G14" i="3" s="1"/>
  <c r="I15" i="16" s="1"/>
  <c r="R15" i="7"/>
  <c r="S15" i="7" s="1"/>
  <c r="U15" i="7" s="1"/>
  <c r="J15" i="7" s="1"/>
  <c r="M15" i="7" s="1"/>
  <c r="K14" i="6"/>
  <c r="K13" i="6"/>
  <c r="T12" i="7"/>
  <c r="R12" i="7"/>
  <c r="S12" i="7" s="1"/>
  <c r="T13" i="8"/>
  <c r="O15" i="3"/>
  <c r="K12" i="7"/>
  <c r="R13" i="6"/>
  <c r="S13" i="6" s="1"/>
  <c r="U13" i="6" s="1"/>
  <c r="J13" i="6" s="1"/>
  <c r="M13" i="6" s="1"/>
  <c r="G13" i="6" s="1"/>
  <c r="G13" i="9" s="1"/>
  <c r="G11" i="3"/>
  <c r="I12" i="16" s="1"/>
  <c r="F35" i="3"/>
  <c r="G10" i="3"/>
  <c r="I11" i="16" s="1"/>
  <c r="T14" i="6"/>
  <c r="R14" i="6"/>
  <c r="S14" i="6" s="1"/>
  <c r="U14" i="6" s="1"/>
  <c r="J14" i="6" s="1"/>
  <c r="M14" i="6" s="1"/>
  <c r="G14" i="6" s="1"/>
  <c r="M15" i="13" s="1"/>
  <c r="D15" i="6"/>
  <c r="O12" i="6"/>
  <c r="O12" i="3"/>
  <c r="R12" i="3" s="1"/>
  <c r="S12" i="3" s="1"/>
  <c r="U12" i="3" s="1"/>
  <c r="J12" i="3" s="1"/>
  <c r="Q15" i="3"/>
  <c r="F32" i="3"/>
  <c r="R14" i="8"/>
  <c r="S14" i="8" s="1"/>
  <c r="E69" i="6"/>
  <c r="T13" i="3"/>
  <c r="K14" i="3"/>
  <c r="T14" i="3"/>
  <c r="K15" i="7"/>
  <c r="L15" i="7" s="1"/>
  <c r="S16" i="16" s="1"/>
  <c r="R13" i="3"/>
  <c r="S13" i="3" s="1"/>
  <c r="U13" i="3" s="1"/>
  <c r="J13" i="3" s="1"/>
  <c r="M13" i="3" s="1"/>
  <c r="G13" i="3" s="1"/>
  <c r="O15" i="6"/>
  <c r="Q12" i="6"/>
  <c r="Q15" i="6"/>
  <c r="F15" i="6"/>
  <c r="L13" i="4"/>
  <c r="O14" i="16" s="1"/>
  <c r="L11" i="4"/>
  <c r="O12" i="16" s="1"/>
  <c r="K8" i="7"/>
  <c r="O13" i="2"/>
  <c r="O12" i="8"/>
  <c r="T8" i="7"/>
  <c r="U8" i="7" s="1"/>
  <c r="J8" i="7" s="1"/>
  <c r="M8" i="7" s="1"/>
  <c r="T13" i="7"/>
  <c r="Q10" i="7"/>
  <c r="F13" i="2"/>
  <c r="Q11" i="7"/>
  <c r="R8" i="6"/>
  <c r="S8" i="6" s="1"/>
  <c r="F14" i="2"/>
  <c r="E69" i="8"/>
  <c r="F10" i="7"/>
  <c r="L10" i="3"/>
  <c r="P11" i="16" s="1"/>
  <c r="F30" i="7"/>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Q12" i="8"/>
  <c r="R12" i="8" s="1"/>
  <c r="S12" i="8" s="1"/>
  <c r="F35" i="8"/>
  <c r="F32" i="8"/>
  <c r="N30" i="3"/>
  <c r="E14" i="9"/>
  <c r="U13" i="8"/>
  <c r="J13" i="8" s="1"/>
  <c r="M13" i="8" s="1"/>
  <c r="G13" i="8" s="1"/>
  <c r="I15" i="13"/>
  <c r="L14" i="3"/>
  <c r="P15" i="16" s="1"/>
  <c r="E10" i="9"/>
  <c r="T15" i="3"/>
  <c r="T12" i="6"/>
  <c r="I11" i="13"/>
  <c r="T12" i="3"/>
  <c r="K15" i="3"/>
  <c r="I12" i="13"/>
  <c r="E11" i="9"/>
  <c r="R12" i="6"/>
  <c r="S12" i="6" s="1"/>
  <c r="U12" i="6" s="1"/>
  <c r="J12" i="6" s="1"/>
  <c r="M12" i="6" s="1"/>
  <c r="G12" i="6" s="1"/>
  <c r="M14" i="13"/>
  <c r="K12" i="3"/>
  <c r="L12" i="3" s="1"/>
  <c r="P13" i="16" s="1"/>
  <c r="K12" i="6"/>
  <c r="K15" i="6"/>
  <c r="L13" i="6"/>
  <c r="R14" i="16" s="1"/>
  <c r="R15" i="3"/>
  <c r="S15" i="3" s="1"/>
  <c r="U15" i="3" s="1"/>
  <c r="J15" i="3" s="1"/>
  <c r="M15" i="3" s="1"/>
  <c r="G15" i="3" s="1"/>
  <c r="I16" i="16" s="1"/>
  <c r="L13" i="3"/>
  <c r="P14" i="16" s="1"/>
  <c r="U14" i="8"/>
  <c r="J14" i="8" s="1"/>
  <c r="N30" i="8" s="1"/>
  <c r="R15" i="6"/>
  <c r="S15" i="6" s="1"/>
  <c r="U15" i="6" s="1"/>
  <c r="J15" i="6" s="1"/>
  <c r="M15" i="6" s="1"/>
  <c r="G15" i="6" s="1"/>
  <c r="T15" i="6"/>
  <c r="M13" i="9"/>
  <c r="U14" i="13"/>
  <c r="U12" i="13"/>
  <c r="M11" i="9"/>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2" i="7" l="1"/>
  <c r="S13" i="16" s="1"/>
  <c r="L13" i="8"/>
  <c r="T14" i="16" s="1"/>
  <c r="U13" i="2"/>
  <c r="J13" i="2" s="1"/>
  <c r="M13" i="2" s="1"/>
  <c r="G13" i="2" s="1"/>
  <c r="E14" i="16" s="1"/>
  <c r="V15" i="13"/>
  <c r="N14" i="9"/>
  <c r="Z14" i="13"/>
  <c r="Q12" i="9"/>
  <c r="L15" i="6"/>
  <c r="R16" i="16" s="1"/>
  <c r="U11" i="7"/>
  <c r="J11" i="7" s="1"/>
  <c r="L11" i="7" s="1"/>
  <c r="S12" i="16" s="1"/>
  <c r="U14" i="2"/>
  <c r="J14" i="2" s="1"/>
  <c r="M14" i="2" s="1"/>
  <c r="G14" i="2" s="1"/>
  <c r="E15" i="16" s="1"/>
  <c r="K14" i="16"/>
  <c r="Q14" i="13"/>
  <c r="I13" i="9"/>
  <c r="N13" i="9"/>
  <c r="Y13" i="13"/>
  <c r="P13" i="9"/>
  <c r="L14" i="8"/>
  <c r="T15" i="16" s="1"/>
  <c r="X14" i="13"/>
  <c r="U12" i="8"/>
  <c r="J12" i="8" s="1"/>
  <c r="M12" i="8" s="1"/>
  <c r="G12" i="8" s="1"/>
  <c r="K13" i="16" s="1"/>
  <c r="L12" i="6"/>
  <c r="R13" i="16" s="1"/>
  <c r="I16" i="13"/>
  <c r="L15" i="3"/>
  <c r="P16" i="16" s="1"/>
  <c r="E15" i="9"/>
  <c r="U10" i="7"/>
  <c r="J10" i="7" s="1"/>
  <c r="L10" i="7" s="1"/>
  <c r="S11" i="16" s="1"/>
  <c r="M14" i="8"/>
  <c r="G14" i="8" s="1"/>
  <c r="K15" i="16" s="1"/>
  <c r="V14" i="13"/>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3" i="9" l="1"/>
  <c r="C13" i="9"/>
  <c r="X16" i="13"/>
  <c r="L14" i="2"/>
  <c r="N15" i="16" s="1"/>
  <c r="V16" i="13"/>
  <c r="R14" i="9"/>
  <c r="P15" i="9"/>
  <c r="M10" i="7"/>
  <c r="M11" i="7"/>
  <c r="C14" i="9"/>
  <c r="N30" i="2"/>
  <c r="P12" i="9"/>
  <c r="E15" i="13"/>
  <c r="E14" i="13"/>
  <c r="Z15" i="13"/>
  <c r="L12" i="8"/>
  <c r="T13" i="16" s="1"/>
  <c r="X13" i="13"/>
  <c r="N15"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R12" i="9"/>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<sst xmlns="http://schemas.openxmlformats.org/spreadsheetml/2006/main" count="654" uniqueCount="141">
  <si>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</si>
  <si>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</si>
  <si>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</si>
  <si>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</si>
  <si>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</si>
  <si>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</si>
  <si>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</si>
  <si>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</si>
  <si>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</si>
  <si>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</si>
  <si>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</si>
  <si>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</si>
  <si>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</si>
  <si>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</si>
  <si>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</si>
  <si>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</si>
  <si>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</si>
  <si>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</si>
  <si>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</si>
  <si>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</si>
  <si>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</si>
  <si>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</si>
  <si>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</si>
  <si>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</si>
  <si>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</si>
  <si>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</si>
  <si>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</si>
  <si>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</si>
  <si>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</si>
  <si>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</si>
  <si>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</si>
  <si>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</si>
  <si>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</si>
  <si>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</si>
  <si>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</si>
  <si>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</si>
  <si>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</si>
  <si>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</si>
  <si>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</si>
  <si>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</si>
  <si>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</si>
  <si>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</si>
  <si>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</si>
  <si>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</si>
  <si>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</si>
  <si>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</si>
  <si>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</si>
  <si>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</si>
  <si>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</si>
  <si>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</si>
  <si>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</si>
  <si>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</si>
  <si>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</si>
  <si>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</si>
  <si>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</si>
  <si>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</si>
  <si>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</si>
  <si>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</si>
  <si>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</si>
  <si>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</si>
  <si>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</si>
  <si>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</si>
  <si>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</si>
  <si>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</si>
  <si>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</si>
  <si>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</si>
  <si>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</si>
  <si>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</si>
  <si>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</si>
  <si>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</si>
  <si>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</si>
  <si>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</si>
  <si>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</si>
  <si>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</si>
  <si>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</si>
  <si>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</si>
  <si>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</si>
  <si>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</si>
  <si>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</si>
  <si>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</si>
  <si>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</si>
  <si>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</si>
  <si>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</si>
  <si>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</si>
  <si>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</si>
  <si>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</si>
  <si>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</si>
  <si>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</si>
  <si>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</si>
  <si>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</si>
  <si>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</si>
  <si>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</si>
  <si>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</si>
  <si>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</si>
  <si>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</si>
  <si>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</si>
  <si>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</si>
  <si>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</si>
  <si>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</si>
  <si>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</si>
  <si>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</si>
  <si>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</si>
  <si>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</si>
  <si>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</si>
  <si>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</si>
  <si>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</si>
  <si>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</si>
  <si>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</si>
  <si>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</si>
  <si>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</si>
  <si>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</si>
  <si>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</si>
  <si>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</si>
  <si>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</si>
  <si>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</si>
  <si>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</si>
  <si>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</si>
  <si>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</si>
  <si>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</si>
  <si>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</si>
  <si>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</si>
  <si>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</si>
  <si>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</si>
  <si>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</si>
  <si>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</si>
  <si>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</si>
  <si>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</si>
  <si>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</si>
  <si>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</si>
  <si>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</si>
  <si>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</si>
  <si>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</si>
  <si>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</si>
  <si>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</si>
  <si>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</si>
  <si>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</si>
  <si>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Eaton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</si>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</sst>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Eaton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N=59</c:v>
                </c:pt>
                <c:pt idx="3">
                  <c:v>Petitions, total N=64</c:v>
                </c:pt>
                <c:pt idx="4">
                  <c:v>Detentions, total N=0</c:v>
                </c:pt>
                <c:pt idx="5">
                  <c:v>Referrals, total N=116</c:v>
                </c:pt>
                <c:pt idx="6">
                  <c:v>Arrests, total N=18</c:v>
                </c:pt>
                <c:pt idx="7">
                  <c:v>Population, total N=10343</c:v>
                </c:pt>
              </c:strCache>
            </c:strRef>
          </c:cat>
          <c:val>
            <c:numRef>
              <c:f>'Stacked 100%'!$B$7:$B$14</c:f>
              <c:numCache>
                <c:formatCode>0%</c:formatCode>
                <c:ptCount val="8"/>
                <c:pt idx="0">
                  <c:v>0</c:v>
                </c:pt>
                <c:pt idx="1">
                  <c:v>0.1111111111111111</c:v>
                </c:pt>
                <c:pt idx="2">
                  <c:v>0.3728813559322034</c:v>
                </c:pt>
                <c:pt idx="3">
                  <c:v>0.34375</c:v>
                </c:pt>
                <c:pt idx="4">
                  <c:v>0</c:v>
                </c:pt>
                <c:pt idx="5">
                  <c:v>0.30172413793103448</c:v>
                </c:pt>
                <c:pt idx="6">
                  <c:v>0.16666666666666666</c:v>
                </c:pt>
                <c:pt idx="7">
                  <c:v>0.10103451609784395</c:v>
                </c:pt>
              </c:numCache>
            </c:numRef>
          </c:val>
          <c:extLst>
            <c:ext xmlns:c16="http://schemas.microsoft.com/office/drawing/2014/chart" uri="{C3380CC4-5D6E-409C-BE32-E72D297353CC}">
              <c16:uniqueId val="{00000000-5E48-4D27-9CE5-A0639C83A6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N=59</c:v>
                </c:pt>
                <c:pt idx="3">
                  <c:v>Petitions, total N=64</c:v>
                </c:pt>
                <c:pt idx="4">
                  <c:v>Detentions, total N=0</c:v>
                </c:pt>
                <c:pt idx="5">
                  <c:v>Referrals, total N=116</c:v>
                </c:pt>
                <c:pt idx="6">
                  <c:v>Arrests, total N=18</c:v>
                </c:pt>
                <c:pt idx="7">
                  <c:v>Population, total N=10343</c:v>
                </c:pt>
              </c:strCache>
            </c:strRef>
          </c:cat>
          <c:val>
            <c:numRef>
              <c:f>'Stacked 100%'!$C$7:$C$14</c:f>
              <c:numCache>
                <c:formatCode>0%</c:formatCode>
                <c:ptCount val="8"/>
                <c:pt idx="0">
                  <c:v>0</c:v>
                </c:pt>
                <c:pt idx="1">
                  <c:v>0</c:v>
                </c:pt>
                <c:pt idx="2">
                  <c:v>1.6949152542372881E-2</c:v>
                </c:pt>
                <c:pt idx="3">
                  <c:v>1.5625E-2</c:v>
                </c:pt>
                <c:pt idx="4">
                  <c:v>0</c:v>
                </c:pt>
                <c:pt idx="5">
                  <c:v>8.6206896551724137E-3</c:v>
                </c:pt>
                <c:pt idx="6">
                  <c:v>5.5555555555555552E-2</c:v>
                </c:pt>
                <c:pt idx="7">
                  <c:v>8.7982210190466981E-2</c:v>
                </c:pt>
              </c:numCache>
            </c:numRef>
          </c:val>
          <c:extLst>
            <c:ext xmlns:c16="http://schemas.microsoft.com/office/drawing/2014/chart" uri="{C3380CC4-5D6E-409C-BE32-E72D297353CC}">
              <c16:uniqueId val="{00000001-5E48-4D27-9CE5-A0639C83A6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N=9</c:v>
                </c:pt>
                <c:pt idx="2">
                  <c:v>Delinquent Findings, total N=59</c:v>
                </c:pt>
                <c:pt idx="3">
                  <c:v>Petitions, total N=64</c:v>
                </c:pt>
                <c:pt idx="4">
                  <c:v>Detentions, total N=0</c:v>
                </c:pt>
                <c:pt idx="5">
                  <c:v>Referrals, total N=116</c:v>
                </c:pt>
                <c:pt idx="6">
                  <c:v>Arrests, total N=18</c:v>
                </c:pt>
                <c:pt idx="7">
                  <c:v>Population, total N=10343</c:v>
                </c:pt>
              </c:strCache>
            </c:strRef>
          </c:cat>
          <c:val>
            <c:numRef>
              <c:f>'Stacked 100%'!$H$7:$H$14</c:f>
              <c:numCache>
                <c:formatCode>0%</c:formatCode>
                <c:ptCount val="8"/>
                <c:pt idx="0">
                  <c:v>0</c:v>
                </c:pt>
                <c:pt idx="1">
                  <c:v>0</c:v>
                </c:pt>
                <c:pt idx="2">
                  <c:v>2.8727377190462512E-4</c:v>
                </c:pt>
                <c:pt idx="3">
                  <c:v>2.44140625E-4</c:v>
                </c:pt>
                <c:pt idx="4">
                  <c:v>0</c:v>
                </c:pt>
                <c:pt idx="5">
                  <c:v>7.4316290130796664E-5</c:v>
                </c:pt>
                <c:pt idx="6">
                  <c:v>0</c:v>
                </c:pt>
                <c:pt idx="7">
                  <c:v>2.6641079016421456E-6</c:v>
                </c:pt>
              </c:numCache>
            </c:numRef>
          </c:val>
          <c:extLst>
            <c:ext xmlns:c16="http://schemas.microsoft.com/office/drawing/2014/chart" uri="{C3380CC4-5D6E-409C-BE32-E72D297353CC}">
              <c16:uniqueId val="{00000002-5E48-4D27-9CE5-A0639C83A6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N=59</c:v>
                </c:pt>
                <c:pt idx="3">
                  <c:v>Petitions, total N=64</c:v>
                </c:pt>
                <c:pt idx="4">
                  <c:v>Detentions, total N=0</c:v>
                </c:pt>
                <c:pt idx="5">
                  <c:v>Referrals, total N=116</c:v>
                </c:pt>
                <c:pt idx="6">
                  <c:v>Arrests, total N=18</c:v>
                </c:pt>
                <c:pt idx="7">
                  <c:v>Population, total N=10343</c:v>
                </c:pt>
              </c:strCache>
            </c:strRef>
          </c:cat>
          <c:val>
            <c:numRef>
              <c:f>'Stacked 100%'!$I$7:$I$14</c:f>
              <c:numCache>
                <c:formatCode>0%</c:formatCode>
                <c:ptCount val="8"/>
                <c:pt idx="0">
                  <c:v>0</c:v>
                </c:pt>
                <c:pt idx="1">
                  <c:v>0.55555555555555558</c:v>
                </c:pt>
                <c:pt idx="2">
                  <c:v>0.44067796610169491</c:v>
                </c:pt>
                <c:pt idx="3">
                  <c:v>0.421875</c:v>
                </c:pt>
                <c:pt idx="4">
                  <c:v>0</c:v>
                </c:pt>
                <c:pt idx="5">
                  <c:v>0.35344827586206895</c:v>
                </c:pt>
                <c:pt idx="6">
                  <c:v>0.72222222222222221</c:v>
                </c:pt>
                <c:pt idx="7">
                  <c:v>0.78342840568500438</c:v>
                </c:pt>
              </c:numCache>
            </c:numRef>
          </c:val>
          <c:extLst>
            <c:ext xmlns:c16="http://schemas.microsoft.com/office/drawing/2014/chart" uri="{C3380CC4-5D6E-409C-BE32-E72D297353CC}">
              <c16:uniqueId val="{00000003-5E48-4D27-9CE5-A0639C83A6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N=9</c:v>
                </c:pt>
                <c:pt idx="2">
                  <c:v>Delinquent Findings, total N=59</c:v>
                </c:pt>
                <c:pt idx="3">
                  <c:v>Petitions, total N=64</c:v>
                </c:pt>
                <c:pt idx="4">
                  <c:v>Detentions, total N=0</c:v>
                </c:pt>
                <c:pt idx="5">
                  <c:v>Referrals, total N=116</c:v>
                </c:pt>
                <c:pt idx="6">
                  <c:v>Arrests, total N=18</c:v>
                </c:pt>
                <c:pt idx="7">
                  <c:v>Population, total N=10343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E48-4D27-9CE5-A0639C83A6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115" zoomScaleNormal="115" workbookViewId="0">
      <selection activeCell="I15" sqref="I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10343</v>
      </c>
      <c r="C6" s="11">
        <v>8103</v>
      </c>
      <c r="D6" s="11">
        <v>1045</v>
      </c>
      <c r="E6" s="11">
        <v>910</v>
      </c>
      <c r="F6" s="11">
        <v>239</v>
      </c>
      <c r="G6" s="11"/>
      <c r="H6" s="11">
        <v>46</v>
      </c>
      <c r="I6" s="11"/>
      <c r="J6" s="91">
        <f>SUM(D6:I6)</f>
        <v>2240</v>
      </c>
      <c r="K6" s="92"/>
    </row>
    <row r="7" spans="1:11" ht="15.75" customHeight="1" thickBot="1">
      <c r="A7" s="10" t="s">
        <v>8</v>
      </c>
      <c r="B7" s="11">
        <f t="shared" ref="B7:B15" si="0">SUM(C7:I7)+K7</f>
        <v>18</v>
      </c>
      <c r="C7" s="11">
        <v>13</v>
      </c>
      <c r="D7" s="11">
        <v>3</v>
      </c>
      <c r="E7" s="11">
        <v>1</v>
      </c>
      <c r="F7" s="11">
        <v>0</v>
      </c>
      <c r="G7" s="11">
        <v>0</v>
      </c>
      <c r="H7" s="11">
        <v>0</v>
      </c>
      <c r="I7" s="11"/>
      <c r="J7" s="91">
        <f t="shared" ref="J7:J15" si="1">SUM(D7:I7)</f>
        <v>4</v>
      </c>
      <c r="K7" s="92">
        <v>1</v>
      </c>
    </row>
    <row r="8" spans="1:11" ht="15.75" customHeight="1" thickBot="1">
      <c r="A8" s="10" t="s">
        <v>9</v>
      </c>
      <c r="B8" s="11">
        <f t="shared" si="0"/>
        <v>116</v>
      </c>
      <c r="C8" s="11">
        <v>41</v>
      </c>
      <c r="D8" s="11">
        <v>35</v>
      </c>
      <c r="E8" s="11">
        <v>1</v>
      </c>
      <c r="F8" s="11"/>
      <c r="G8" s="11"/>
      <c r="H8" s="11"/>
      <c r="I8" s="11">
        <v>1</v>
      </c>
      <c r="J8" s="91">
        <f t="shared" si="1"/>
        <v>37</v>
      </c>
      <c r="K8" s="92">
        <v>38</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64</v>
      </c>
      <c r="C11" s="11">
        <v>27</v>
      </c>
      <c r="D11" s="11">
        <v>22</v>
      </c>
      <c r="E11" s="11">
        <v>1</v>
      </c>
      <c r="F11" s="11"/>
      <c r="G11" s="11"/>
      <c r="H11" s="11"/>
      <c r="I11" s="11">
        <v>1</v>
      </c>
      <c r="J11" s="91">
        <f t="shared" si="1"/>
        <v>24</v>
      </c>
      <c r="K11" s="92">
        <v>13</v>
      </c>
    </row>
    <row r="12" spans="1:11" ht="15.75" customHeight="1" thickBot="1">
      <c r="A12" s="10" t="s">
        <v>13</v>
      </c>
      <c r="B12" s="11">
        <f t="shared" si="0"/>
        <v>59</v>
      </c>
      <c r="C12" s="11">
        <v>26</v>
      </c>
      <c r="D12" s="11">
        <v>22</v>
      </c>
      <c r="E12" s="11">
        <v>1</v>
      </c>
      <c r="F12" s="11"/>
      <c r="G12" s="11"/>
      <c r="H12" s="11"/>
      <c r="I12" s="11">
        <v>1</v>
      </c>
      <c r="J12" s="91">
        <f t="shared" si="1"/>
        <v>24</v>
      </c>
      <c r="K12" s="92">
        <v>9</v>
      </c>
    </row>
    <row r="13" spans="1:11" ht="15.75" customHeight="1" thickBot="1">
      <c r="A13" s="10" t="s">
        <v>133</v>
      </c>
      <c r="B13" s="11">
        <f t="shared" si="0"/>
        <v>66</v>
      </c>
      <c r="C13" s="11">
        <v>28</v>
      </c>
      <c r="D13" s="11">
        <v>21</v>
      </c>
      <c r="E13" s="11">
        <v>1</v>
      </c>
      <c r="F13" s="11"/>
      <c r="G13" s="11"/>
      <c r="H13" s="11"/>
      <c r="I13" s="11"/>
      <c r="J13" s="91">
        <f t="shared" si="1"/>
        <v>22</v>
      </c>
      <c r="K13" s="92">
        <v>16</v>
      </c>
    </row>
    <row r="14" spans="1:11" ht="26.25" customHeight="1" thickBot="1">
      <c r="A14" s="10" t="s">
        <v>123</v>
      </c>
      <c r="B14" s="11">
        <f t="shared" si="0"/>
        <v>9</v>
      </c>
      <c r="C14" s="11">
        <v>5</v>
      </c>
      <c r="D14" s="11">
        <v>1</v>
      </c>
      <c r="E14" s="11"/>
      <c r="F14" s="11"/>
      <c r="G14" s="11"/>
      <c r="H14" s="11"/>
      <c r="I14" s="11"/>
      <c r="J14" s="91">
        <f t="shared" si="1"/>
        <v>1</v>
      </c>
      <c r="K14" s="92">
        <v>3</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8090</v>
      </c>
      <c r="R7" s="42">
        <f t="shared" ref="R7:R15" si="5">SUM(N7:Q7)</f>
        <v>8103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41</v>
      </c>
      <c r="D8" s="34">
        <f>IF((AND(C67&gt;0,C8&gt;0)),(C8/C67),0)</f>
        <v>315.38461538461536</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41</v>
      </c>
      <c r="Q8" s="42">
        <f>(C$67*L67)-C8</f>
        <v>-28</v>
      </c>
      <c r="R8" s="42">
        <f t="shared" si="5"/>
        <v>13.049999999999997</v>
      </c>
      <c r="S8" s="30">
        <f t="shared" si="6"/>
        <v>1564.7276249999984</v>
      </c>
      <c r="T8" s="30">
        <f t="shared" si="7"/>
        <v>-790.33500000000072</v>
      </c>
      <c r="U8" s="31">
        <f t="shared" si="8"/>
        <v>-1.9798283322894683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41</v>
      </c>
      <c r="R9" s="42">
        <f t="shared" si="5"/>
        <v>42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41</v>
      </c>
      <c r="R10" s="42">
        <f t="shared" si="5"/>
        <v>42</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27</v>
      </c>
      <c r="Q11" s="42">
        <f>(C$68*L68)-C11</f>
        <v>14</v>
      </c>
      <c r="R11" s="42">
        <f t="shared" si="5"/>
        <v>42</v>
      </c>
      <c r="S11" s="30">
        <f t="shared" si="6"/>
        <v>8232</v>
      </c>
      <c r="T11" s="30">
        <f t="shared" si="7"/>
        <v>16072</v>
      </c>
      <c r="U11" s="31">
        <f t="shared" si="8"/>
        <v>0.51219512195121952</v>
      </c>
    </row>
    <row r="12" spans="2:21" ht="18" customHeight="1">
      <c r="B12" s="32" t="str">
        <f>'Data Entry'!A12</f>
        <v>7. Cases Resulting in Delinquent Findings</v>
      </c>
      <c r="C12" s="33">
        <f>'Data Entry'!C12</f>
        <v>26</v>
      </c>
      <c r="D12" s="34">
        <f>IF(((AND(C69&gt;0,C12&gt;0))),(C12/(C69)),0)</f>
        <v>96.296296296296291</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26</v>
      </c>
      <c r="Q12" s="42">
        <f>(C69*L69)-C12</f>
        <v>1</v>
      </c>
      <c r="R12" s="42">
        <f t="shared" si="5"/>
        <v>28</v>
      </c>
      <c r="S12" s="30">
        <f t="shared" si="6"/>
        <v>28</v>
      </c>
      <c r="T12" s="30">
        <f t="shared" si="7"/>
        <v>729</v>
      </c>
      <c r="U12" s="31">
        <f t="shared" si="8"/>
        <v>3.8408779149519894E-2</v>
      </c>
    </row>
    <row r="13" spans="2:21" ht="18" customHeight="1">
      <c r="B13" s="32" t="str">
        <f>'Data Entry'!A13</f>
        <v>8. Cases Resulting in Probation Placement</v>
      </c>
      <c r="C13" s="33">
        <f>'Data Entry'!C13</f>
        <v>28</v>
      </c>
      <c r="D13" s="34">
        <f>IF(((AND(C70&gt;0,C13&gt;0))),(C13/(C70)),0)</f>
        <v>107.69230769230769</v>
      </c>
      <c r="E13" s="33">
        <f>'Data Entry'!I13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0</v>
      </c>
      <c r="O13" s="42">
        <f>(D70*L70)-E13</f>
        <v>1</v>
      </c>
      <c r="P13" s="42">
        <f t="shared" si="4"/>
        <v>28</v>
      </c>
      <c r="Q13" s="42">
        <f>(C70*L70)-C13</f>
        <v>-2</v>
      </c>
      <c r="R13" s="42">
        <f t="shared" si="5"/>
        <v>27</v>
      </c>
      <c r="S13" s="30">
        <f t="shared" si="6"/>
        <v>21168</v>
      </c>
      <c r="T13" s="30">
        <f t="shared" si="7"/>
        <v>-728</v>
      </c>
      <c r="U13" s="31">
        <f t="shared" si="8"/>
        <v>-29.076923076923077</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5</v>
      </c>
      <c r="Q14" s="42">
        <f>(C70*L70)-C14</f>
        <v>21</v>
      </c>
      <c r="R14" s="42">
        <f t="shared" si="5"/>
        <v>27</v>
      </c>
      <c r="S14" s="30">
        <f t="shared" si="6"/>
        <v>675</v>
      </c>
      <c r="T14" s="30">
        <f t="shared" si="7"/>
        <v>2860</v>
      </c>
      <c r="U14" s="31">
        <f t="shared" si="8"/>
        <v>0.23601398601398602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27</v>
      </c>
      <c r="R15" s="42">
        <f t="shared" si="5"/>
        <v>28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0</v>
      </c>
      <c r="E42" s="56">
        <f>MAX(C42:D42)</f>
        <v>8.1029999999999998</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0.41</v>
      </c>
      <c r="D44" s="56">
        <f>E8/100</f>
        <v>0.01</v>
      </c>
      <c r="E44" s="56">
        <f>MAX(C44:D44,0)</f>
        <v>0.41</v>
      </c>
      <c r="G44" s="1" t="str">
        <f>B44</f>
        <v>per 100 referrals</v>
      </c>
      <c r="L44" s="57">
        <v>100</v>
      </c>
      <c r="M44" s="57"/>
      <c r="R44" s="49"/>
    </row>
    <row r="45" spans="2:18" ht="15" hidden="1" customHeight="1">
      <c r="B45" s="49" t="s">
        <v>89</v>
      </c>
      <c r="C45" s="49">
        <f>C11/100</f>
        <v>0.27</v>
      </c>
      <c r="D45" s="49">
        <f>E11/100</f>
        <v>0.01</v>
      </c>
      <c r="E45" s="56">
        <f>MAX(C45:D45,0)</f>
        <v>0.27</v>
      </c>
      <c r="G45" s="1" t="str">
        <f>B45</f>
        <v>per 100 youth petitioned</v>
      </c>
      <c r="L45" s="57">
        <v>100</v>
      </c>
      <c r="M45" s="57"/>
      <c r="R45" s="49"/>
    </row>
    <row r="46" spans="2:18" ht="15" hidden="1" customHeight="1">
      <c r="B46" s="49" t="s">
        <v>90</v>
      </c>
      <c r="C46" s="49">
        <f>C12/100</f>
        <v>0.26</v>
      </c>
      <c r="D46" s="49">
        <f>E12/100</f>
        <v>0.01</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0</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0.01</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0.01</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0.01</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0</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0.01</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0.01</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0.01</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0</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0.01</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0.01</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0.01</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0</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0.01</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0.01</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0.01</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Entry'!J6</f>
        <v>2240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Entry'!J7</f>
        <v>4</v>
      </c>
      <c r="F7" s="34">
        <f>IF((AND($E$7&gt;0,$D$66&gt;0)),($E$7/$D$66),0)</f>
        <v>1.7857142857142856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2236</v>
      </c>
      <c r="P7" s="42">
        <f t="shared" ref="P7:P15" si="4">C7</f>
        <v>13</v>
      </c>
      <c r="Q7" s="42">
        <f>C6-C7</f>
        <v>8090</v>
      </c>
      <c r="R7" s="42">
        <f t="shared" ref="R7:R15" si="5">SUM(N7:Q7)</f>
        <v>10343</v>
      </c>
      <c r="S7" s="30">
        <f t="shared" ref="S7:S15" si="6">R7*((((N7*Q7)-(O7*P7))^2))</f>
        <v>112089821552</v>
      </c>
      <c r="T7" s="30">
        <f t="shared" ref="T7:T15" si="7">(N7+O7)*(P7+Q7)*(N7+P7)*(O7+Q7)</f>
        <v>3186213690240</v>
      </c>
      <c r="U7" s="31">
        <f t="shared" ref="U7:U15" si="8">IF((S7&gt;0),S7/T7,"- -")</f>
        <v>3.517963088770637E-2</v>
      </c>
    </row>
    <row r="8" spans="2:21" ht="18" customHeight="1">
      <c r="B8" s="32" t="str">
        <f>'Data Entry'!A8</f>
        <v>3. Refer to Juvenile Court</v>
      </c>
      <c r="C8" s="33">
        <f>'Data Entry'!C8</f>
        <v>41</v>
      </c>
      <c r="D8" s="34">
        <f>IF((AND(C67&gt;0,C8&gt;0)),(C8/C67),0)</f>
        <v>315.38461538461536</v>
      </c>
      <c r="E8" s="33">
        <f>'Data Entry'!J8</f>
        <v>37</v>
      </c>
      <c r="F8" s="34">
        <f>IF((AND($E$8&gt;0,$D$67&gt;0)),($E8/$D67),0)</f>
        <v>925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37</v>
      </c>
      <c r="O8" s="42">
        <f>((D67*L67)-E8)+0.05</f>
        <v>-32.950000000000003</v>
      </c>
      <c r="P8" s="42">
        <f t="shared" si="4"/>
        <v>41</v>
      </c>
      <c r="Q8" s="42">
        <f>(C$67*L67)-C8</f>
        <v>-28</v>
      </c>
      <c r="R8" s="42">
        <f t="shared" si="5"/>
        <v>17.049999999999997</v>
      </c>
      <c r="S8" s="30">
        <f t="shared" si="6"/>
        <v>1691249.2176250003</v>
      </c>
      <c r="T8" s="30">
        <f t="shared" si="7"/>
        <v>-250303.36499999985</v>
      </c>
      <c r="U8" s="31">
        <f t="shared" si="8"/>
        <v>-6.7567977666820473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37</v>
      </c>
      <c r="P9" s="42">
        <f t="shared" si="4"/>
        <v>0</v>
      </c>
      <c r="Q9" s="42">
        <f>(C$68*L68)-C9</f>
        <v>41</v>
      </c>
      <c r="R9" s="42">
        <f t="shared" si="5"/>
        <v>78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37</v>
      </c>
      <c r="P10" s="42">
        <f t="shared" si="4"/>
        <v>0</v>
      </c>
      <c r="Q10" s="42">
        <f>(C$68*L68)-C10</f>
        <v>41</v>
      </c>
      <c r="R10" s="42">
        <f t="shared" si="5"/>
        <v>78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Entry'!J11</f>
        <v>24</v>
      </c>
      <c r="F11" s="34">
        <f>IF(((AND($E$11&gt;0,$D$68&gt;0))),($E$11/($D$68)),0)</f>
        <v>64.86486486486487</v>
      </c>
      <c r="G11" s="39">
        <f t="shared" si="0"/>
        <v>0.98498498498498499</v>
      </c>
      <c r="H11" s="40"/>
      <c r="I11" s="41"/>
      <c r="J11" s="40">
        <f>IF((ABS($U11)&gt;Defaults!D$7),1,2)</f>
        <v>2</v>
      </c>
      <c r="K11" s="39">
        <f>IF((AND(N11&gt;Defaults!B$12,(N11+O11)&gt;Defaults!B$13, P11 &gt; Defaults!B$12, (P11+Q11) &gt; Defaults!B$13)),1,20)</f>
        <v>1</v>
      </c>
      <c r="L11" s="1">
        <f t="shared" si="1"/>
        <v>2</v>
      </c>
      <c r="M11" s="1" t="b">
        <f t="shared" si="2"/>
        <v>1</v>
      </c>
      <c r="N11" s="42">
        <f t="shared" si="3"/>
        <v>24</v>
      </c>
      <c r="O11" s="42">
        <f>(D$68*L68)-E11</f>
        <v>13</v>
      </c>
      <c r="P11" s="42">
        <f t="shared" si="4"/>
        <v>27</v>
      </c>
      <c r="Q11" s="42">
        <f>(C$68*L68)-C11</f>
        <v>14</v>
      </c>
      <c r="R11" s="42">
        <f t="shared" si="5"/>
        <v>78</v>
      </c>
      <c r="S11" s="30">
        <f t="shared" si="6"/>
        <v>17550</v>
      </c>
      <c r="T11" s="30">
        <f t="shared" si="7"/>
        <v>2088909</v>
      </c>
      <c r="U11" s="31">
        <f t="shared" si="8"/>
        <v>8.4015148577558912E-3</v>
      </c>
    </row>
    <row r="12" spans="2:21" ht="18" customHeight="1">
      <c r="B12" s="32" t="str">
        <f>'Data Entry'!A12</f>
        <v>7. Cases Resulting in Delinquent Findings</v>
      </c>
      <c r="C12" s="33">
        <f>'Data Entry'!C12</f>
        <v>26</v>
      </c>
      <c r="D12" s="34">
        <f>IF(((AND(C69&gt;0,C12&gt;0))),(C12/(C69)),0)</f>
        <v>96.296296296296291</v>
      </c>
      <c r="E12" s="33">
        <f>'Data Entry'!J12</f>
        <v>24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24</v>
      </c>
      <c r="O12" s="42">
        <f>(D69*L69)-E12</f>
        <v>0</v>
      </c>
      <c r="P12" s="42">
        <f t="shared" si="4"/>
        <v>26</v>
      </c>
      <c r="Q12" s="42">
        <f>(C69*L69)-C12</f>
        <v>1</v>
      </c>
      <c r="R12" s="42">
        <f t="shared" si="5"/>
        <v>51</v>
      </c>
      <c r="S12" s="30">
        <f t="shared" si="6"/>
        <v>29376</v>
      </c>
      <c r="T12" s="30">
        <f t="shared" si="7"/>
        <v>32400</v>
      </c>
      <c r="U12" s="31">
        <f t="shared" si="8"/>
        <v>0.90666666666666662</v>
      </c>
    </row>
    <row r="13" spans="2:21" ht="18" customHeight="1">
      <c r="B13" s="32" t="str">
        <f>'Data Entry'!A13</f>
        <v>8. Cases Resulting in Probation Placement</v>
      </c>
      <c r="C13" s="33">
        <f>'Data Entry'!C13</f>
        <v>28</v>
      </c>
      <c r="D13" s="34">
        <f>IF(((AND(C70&gt;0,C13&gt;0))),(C13/(C70)),0)</f>
        <v>107.69230769230769</v>
      </c>
      <c r="E13" s="33">
        <f>'Data Entry'!J13</f>
        <v>22</v>
      </c>
      <c r="F13" s="34">
        <f>IF(((AND($D$70&gt;0,$E$13&gt;0))),($E$13/($D$70)),0)</f>
        <v>91.666666666666671</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22</v>
      </c>
      <c r="O13" s="42">
        <f>(D70*L70)-E13</f>
        <v>2</v>
      </c>
      <c r="P13" s="42">
        <f t="shared" si="4"/>
        <v>28</v>
      </c>
      <c r="Q13" s="42">
        <f>(C70*L70)-C13</f>
        <v>-2</v>
      </c>
      <c r="R13" s="42">
        <f t="shared" si="5"/>
        <v>50</v>
      </c>
      <c r="S13" s="30">
        <f t="shared" si="6"/>
        <v>500000</v>
      </c>
      <c r="T13" s="30">
        <f t="shared" si="7"/>
        <v>0</v>
      </c>
      <c r="U13" s="31" t="e">
        <f t="shared" si="8"/>
        <v>#DIV/0!</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Entry'!J14</f>
        <v>1</v>
      </c>
      <c r="F14" s="34">
        <f>IF(((AND($D$70&gt;0,$E$14&gt;0))), (($E$14/($D$70))),0)</f>
        <v>4.166666666666667</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23</v>
      </c>
      <c r="P14" s="42">
        <f t="shared" si="4"/>
        <v>5</v>
      </c>
      <c r="Q14" s="42">
        <f>(C70*L70)-C14</f>
        <v>21</v>
      </c>
      <c r="R14" s="42">
        <f t="shared" si="5"/>
        <v>50</v>
      </c>
      <c r="S14" s="30">
        <f t="shared" si="6"/>
        <v>441800</v>
      </c>
      <c r="T14" s="30">
        <f t="shared" si="7"/>
        <v>164736</v>
      </c>
      <c r="U14" s="31">
        <f t="shared" si="8"/>
        <v>2.6818667443667445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24</v>
      </c>
      <c r="P15" s="42">
        <f t="shared" si="4"/>
        <v>0</v>
      </c>
      <c r="Q15" s="42">
        <f>(C69*L69)-C15</f>
        <v>27</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2.2400000000000002</v>
      </c>
      <c r="E42" s="56">
        <f>MAX(C42:D42)</f>
        <v>8.1029999999999998</v>
      </c>
      <c r="G42" s="1" t="str">
        <f>B42</f>
        <v>per 1000 youth</v>
      </c>
      <c r="L42" s="57">
        <v>1000</v>
      </c>
      <c r="M42" s="57"/>
      <c r="R42" s="49"/>
    </row>
    <row r="43" spans="2:18" ht="15" hidden="1" customHeight="1">
      <c r="B43" s="49" t="s">
        <v>87</v>
      </c>
      <c r="C43" s="56">
        <f>C7/100</f>
        <v>0.13</v>
      </c>
      <c r="D43" s="56">
        <f>E7/100</f>
        <v>0.04</v>
      </c>
      <c r="E43" s="56">
        <f>MAX(C43:D43,0)</f>
        <v>0.13</v>
      </c>
      <c r="G43" s="1" t="str">
        <f>B43</f>
        <v>per 100 arrests</v>
      </c>
      <c r="L43" s="57">
        <v>100</v>
      </c>
      <c r="M43" s="57"/>
      <c r="R43" s="49"/>
    </row>
    <row r="44" spans="2:18" ht="15" hidden="1" customHeight="1">
      <c r="B44" s="49" t="s">
        <v>88</v>
      </c>
      <c r="C44" s="56">
        <f>C8/100</f>
        <v>0.41</v>
      </c>
      <c r="D44" s="56">
        <f>E8/100</f>
        <v>0.37</v>
      </c>
      <c r="E44" s="56">
        <f>MAX(C44:D44,0)</f>
        <v>0.41</v>
      </c>
      <c r="G44" s="1" t="str">
        <f>B44</f>
        <v>per 100 referrals</v>
      </c>
      <c r="L44" s="57">
        <v>100</v>
      </c>
      <c r="M44" s="57"/>
      <c r="R44" s="49"/>
    </row>
    <row r="45" spans="2:18" ht="15" hidden="1" customHeight="1">
      <c r="B45" s="49" t="s">
        <v>89</v>
      </c>
      <c r="C45" s="49">
        <f>C11/100</f>
        <v>0.27</v>
      </c>
      <c r="D45" s="49">
        <f>E11/100</f>
        <v>0.24</v>
      </c>
      <c r="E45" s="56">
        <f>MAX(C45:D45,0)</f>
        <v>0.27</v>
      </c>
      <c r="G45" s="1" t="str">
        <f>B45</f>
        <v>per 100 youth petitioned</v>
      </c>
      <c r="L45" s="57">
        <v>100</v>
      </c>
      <c r="M45" s="57"/>
      <c r="R45" s="49"/>
    </row>
    <row r="46" spans="2:18" ht="15" hidden="1" customHeight="1">
      <c r="B46" s="49" t="s">
        <v>90</v>
      </c>
      <c r="C46" s="49">
        <f>C12/100</f>
        <v>0.26</v>
      </c>
      <c r="D46" s="49">
        <f>E12/100</f>
        <v>0.24</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2.2400000000000002</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0.04</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0.37</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0.24</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0.24</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2.2400000000000002</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0.04</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0.37</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0.24</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0.24</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2.2400000000000002</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0.04</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0.37</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0.24</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0.24</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2.2400000000000002</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0.04</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0.37</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0.24</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0.24</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Eaton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f>'Black or African-American'!$G11</f>
        <v>0.95449735449735451</v>
      </c>
      <c r="D11" s="72" t="str">
        <f>Hispanic!G11</f>
        <v>**</v>
      </c>
      <c r="E11" s="72" t="str">
        <f>Asian!G11</f>
        <v>--</v>
      </c>
      <c r="F11" s="72" t="str">
        <f>Hawaiian!G11</f>
        <v>*</v>
      </c>
      <c r="G11" s="72" t="str">
        <f>'Am Indian'!G11</f>
        <v>*</v>
      </c>
      <c r="H11" s="72" t="str">
        <f>'Other - Mixed'!G11</f>
        <v>*</v>
      </c>
      <c r="I11" s="73">
        <f>'All Minorities'!G11</f>
        <v>0.98498498498498499</v>
      </c>
      <c r="L11" s="1">
        <f>'Black or African-American'!L11</f>
        <v>2</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f>Hispanic!L13</f>
        <v>40</v>
      </c>
      <c r="N13" s="1" t="e">
        <f>Asian!L13</f>
        <v>#VALUE!</v>
      </c>
      <c r="O13" s="1" t="e">
        <f>Hawaiian!L13</f>
        <v>#VALUE!</v>
      </c>
      <c r="P13" s="1" t="e">
        <f>'Am Indian'!L13</f>
        <v>#VALUE!</v>
      </c>
      <c r="Q13" s="1">
        <f>'Other - Mixed'!L13</f>
        <v>119</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10343</v>
      </c>
      <c r="D3" s="57">
        <f>'Data Entry'!C6</f>
        <v>8103</v>
      </c>
      <c r="E3" s="57">
        <f>'Data Entry'!D6</f>
        <v>1045</v>
      </c>
      <c r="F3" s="57">
        <f>'Data Entry'!E6</f>
        <v>910</v>
      </c>
      <c r="G3" s="57">
        <f>'Data Entry'!F6</f>
        <v>239</v>
      </c>
      <c r="H3" s="57">
        <f>'Data Entry'!G6</f>
        <v>0</v>
      </c>
      <c r="I3" s="57">
        <f>'Data Entry'!H6</f>
        <v>46</v>
      </c>
      <c r="J3" s="57">
        <f>'Data Entry'!I6</f>
        <v>0</v>
      </c>
      <c r="K3" s="57">
        <f>'Data Entry'!J6</f>
        <v>2240</v>
      </c>
    </row>
    <row r="4" spans="2:11" ht="15" customHeight="1">
      <c r="B4" s="16" t="s">
        <v>8</v>
      </c>
      <c r="C4" s="1">
        <f>IF((C$3&gt;0),(1000*('Data Entry'!B7/'Data Entry'!B$6)), 0)</f>
        <v>1.7403074543169292</v>
      </c>
      <c r="D4" s="1">
        <f>IF((D$3&gt;0),(1000*('Data Entry'!C7/'Data Entry'!C$6)), 0)</f>
        <v>1.6043440700974949</v>
      </c>
      <c r="E4" s="1">
        <f>IF((E$3&gt;0),(1000*('Data Entry'!D7/'Data Entry'!D$6)), 0)</f>
        <v>2.8708133971291865</v>
      </c>
      <c r="F4" s="1">
        <f>IF((F$3&gt;0),(1000*('Data Entry'!E7/'Data Entry'!E$6)), 0)</f>
        <v>1.098901098901099</v>
      </c>
      <c r="G4" s="1">
        <f>IF((G$3&gt;0),(1000*('Data Entry'!F7/'Data Entry'!F$6)), 0)</f>
        <v>0</v>
      </c>
      <c r="H4" s="1">
        <f>IF((H$3&gt;0),(1000*('Data Entry'!G7/'Data Entry'!G$6)), 0)</f>
        <v>0</v>
      </c>
      <c r="I4" s="1">
        <f>IF((I$3&gt;0),(1000*('Data Entry'!H7/'Data Entry'!H$6)), 0)</f>
        <v>0</v>
      </c>
      <c r="J4" s="1">
        <f>IF((J$3&gt;0),(1000*('Data Entry'!I7/'Data Entry'!I$6)), 0)</f>
        <v>0</v>
      </c>
      <c r="K4" s="1">
        <f>IF((K$3&gt;0),(1000*('Data Entry'!J7/'Data Entry'!J$6)), 0)</f>
        <v>1.7857142857142856</v>
      </c>
    </row>
    <row r="5" spans="2:11" ht="15" customHeight="1">
      <c r="B5" s="16" t="s">
        <v>9</v>
      </c>
      <c r="C5" s="1">
        <f>IF((C$3&gt;0),(1000*('Data Entry'!B8/'Data Entry'!B$6)), 0)</f>
        <v>11.215314705597988</v>
      </c>
      <c r="D5" s="1">
        <f>IF((D$3&gt;0),(1000*('Data Entry'!C8/'Data Entry'!C$6)), 0)</f>
        <v>5.0598543749228675</v>
      </c>
      <c r="E5" s="1">
        <f>IF((E$3&gt;0),(1000*('Data Entry'!D8/'Data Entry'!D$6)), 0)</f>
        <v>33.492822966507177</v>
      </c>
      <c r="F5" s="1">
        <f>IF((F$3&gt;0),(1000*('Data Entry'!E8/'Data Entry'!E$6)), 0)</f>
        <v>1.098901098901099</v>
      </c>
      <c r="G5" s="1">
        <f>IF((G$3&gt;0),(1000*('Data Entry'!F8/'Data Entry'!F$6)), 0)</f>
        <v>0</v>
      </c>
      <c r="H5" s="1">
        <f>IF((H$3&gt;0),(1000*('Data Entry'!G8/'Data Entry'!G$6)), 0)</f>
        <v>0</v>
      </c>
      <c r="I5" s="1">
        <f>IF((I$3&gt;0),(1000*('Data Entry'!H8/'Data Entry'!H$6)), 0)</f>
        <v>0</v>
      </c>
      <c r="J5" s="1">
        <f>IF((J$3&gt;0),(1000*('Data Entry'!I8/'Data Entry'!I$6)), 0)</f>
        <v>0</v>
      </c>
      <c r="K5" s="1">
        <f>IF((K$3&gt;0),(1000*('Data Entry'!J8/'Data Entry'!J$6)), 0)</f>
        <v>16.517857142857142</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6.1877598375713045</v>
      </c>
      <c r="D8" s="1">
        <f>IF((D$3&gt;0),(1000*('Data Entry'!C11/'Data Entry'!C$6)), 0)</f>
        <v>3.3320992225101818</v>
      </c>
      <c r="E8" s="1">
        <f>IF((E$3&gt;0),(1000*('Data Entry'!D11/'Data Entry'!D$6)), 0)</f>
        <v>21.052631578947366</v>
      </c>
      <c r="F8" s="1">
        <f>IF((F$3&gt;0),(1000*('Data Entry'!E11/'Data Entry'!E$6)), 0)</f>
        <v>1.098901098901099</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10.714285714285714</v>
      </c>
    </row>
    <row r="9" spans="2:11" ht="15" customHeight="1">
      <c r="B9" s="16" t="s">
        <v>13</v>
      </c>
      <c r="C9" s="1">
        <f>IF((C$3&gt;0),(1000*('Data Entry'!B12/'Data Entry'!B$6)), 0)</f>
        <v>5.704341100261046</v>
      </c>
      <c r="D9" s="1">
        <f>IF((D$3&gt;0),(1000*('Data Entry'!C12/'Data Entry'!C$6)), 0)</f>
        <v>3.2086881401949898</v>
      </c>
      <c r="E9" s="1">
        <f>IF((E$3&gt;0),(1000*('Data Entry'!D12/'Data Entry'!D$6)), 0)</f>
        <v>21.052631578947366</v>
      </c>
      <c r="F9" s="1">
        <f>IF((F$3&gt;0),(1000*('Data Entry'!E12/'Data Entry'!E$6)), 0)</f>
        <v>1.098901098901099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10.714285714285714</v>
      </c>
    </row>
    <row r="10" spans="2:11" ht="15" customHeight="1">
      <c r="B10" s="16" t="s">
        <v>14</v>
      </c>
      <c r="C10" s="1">
        <f>IF((C$3&gt;0),(1000*('Data Entry'!B13/'Data Entry'!B$6)), 0)</f>
        <v>6.3811273324954074</v>
      </c>
      <c r="D10" s="1">
        <f>IF((D$3&gt;0),(1000*('Data Entry'!C13/'Data Entry'!C$6)), 0)</f>
        <v>3.4555103048253732</v>
      </c>
      <c r="E10" s="1">
        <f>IF((E$3&gt;0),(1000*('Data Entry'!D13/'Data Entry'!D$6)), 0)</f>
        <v>20.095693779904305</v>
      </c>
      <c r="F10" s="1">
        <f>IF((F$3&gt;0),(1000*('Data Entry'!E13/'Data Entry'!E$6)), 0)</f>
        <v>1.098901098901099</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9.8214285714285712</v>
      </c>
    </row>
    <row r="11" spans="2:11" ht="25.5" customHeight="1">
      <c r="B11" s="16" t="s">
        <v>15</v>
      </c>
      <c r="C11" s="1">
        <f>IF((C$3&gt;0),(1000*('Data Entry'!B14/'Data Entry'!B$6)), 0)</f>
        <v>0.87015372715846462</v>
      </c>
      <c r="D11" s="1">
        <f>IF((D$3&gt;0),(1000*('Data Entry'!C14/'Data Entry'!C$6)), 0)</f>
        <v>0.61705541157595956</v>
      </c>
      <c r="E11" s="1">
        <f>IF((E$3&gt;0),(1000*('Data Entry'!D14/'Data Entry'!D$6)), 0)</f>
        <v>0.9569377990430622</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0.4464285714285714</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Eaton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1.7894000736105997</v>
      </c>
      <c r="E19" s="72">
        <f t="shared" si="1"/>
        <v>0.68495350803043109</v>
      </c>
      <c r="F19" s="72" t="str">
        <f t="shared" si="1"/>
        <v>--</v>
      </c>
      <c r="G19" s="72" t="str">
        <f t="shared" si="1"/>
        <v>--</v>
      </c>
      <c r="H19" s="72" t="str">
        <f t="shared" si="1"/>
        <v>--</v>
      </c>
      <c r="I19" s="72" t="str">
        <f t="shared" si="1"/>
        <v>--</v>
      </c>
      <c r="J19" s="73">
        <f t="shared" si="1"/>
        <v>1.1130494505494504</v>
      </c>
    </row>
    <row r="20" spans="2:10" ht="15" customHeight="1">
      <c r="B20" s="71" t="s">
        <v>9</v>
      </c>
      <c r="C20" s="72">
        <f t="shared" ref="C20:J27" si="2">IF(AND(($D5&gt;0),(D5&gt;0)), (D5/$D5),"--")</f>
        <v>1</v>
      </c>
      <c r="D20" s="72">
        <f t="shared" si="2"/>
        <v>6.619325475551407</v>
      </c>
      <c r="E20" s="72">
        <f t="shared" si="2"/>
        <v>0.21718038059501479</v>
      </c>
      <c r="F20" s="72" t="str">
        <f t="shared" si="2"/>
        <v>--</v>
      </c>
      <c r="G20" s="72" t="str">
        <f t="shared" si="2"/>
        <v>--</v>
      </c>
      <c r="H20" s="72" t="str">
        <f t="shared" si="2"/>
        <v>--</v>
      </c>
      <c r="I20" s="72" t="str">
        <f t="shared" si="2"/>
        <v>--</v>
      </c>
      <c r="J20" s="73">
        <f t="shared" si="2"/>
        <v>3.2644925958188158</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6.3181286549707592</v>
      </c>
      <c r="E23" s="72">
        <f t="shared" si="2"/>
        <v>0.32979242979242979</v>
      </c>
      <c r="F23" s="72" t="str">
        <f t="shared" si="2"/>
        <v>--</v>
      </c>
      <c r="G23" s="72" t="str">
        <f t="shared" si="2"/>
        <v>--</v>
      </c>
      <c r="H23" s="72" t="str">
        <f t="shared" si="2"/>
        <v>--</v>
      </c>
      <c r="I23" s="72" t="str">
        <f t="shared" si="2"/>
        <v>--</v>
      </c>
      <c r="J23" s="73">
        <f t="shared" si="2"/>
        <v>3.2154761904761897</v>
      </c>
    </row>
    <row r="24" spans="2:10" ht="15" customHeight="1">
      <c r="B24" s="71" t="s">
        <v>13</v>
      </c>
      <c r="C24" s="72">
        <f t="shared" si="2"/>
        <v>1</v>
      </c>
      <c r="D24" s="72">
        <f t="shared" si="2"/>
        <v>6.561133603238865</v>
      </c>
      <c r="E24" s="72">
        <f t="shared" si="2"/>
        <v>0.34247675401521555</v>
      </c>
      <c r="F24" s="72" t="str">
        <f t="shared" si="2"/>
        <v>--</v>
      </c>
      <c r="G24" s="72" t="str">
        <f t="shared" si="2"/>
        <v>--</v>
      </c>
      <c r="H24" s="72" t="str">
        <f t="shared" si="2"/>
        <v>--</v>
      </c>
      <c r="I24" s="72" t="str">
        <f t="shared" si="2"/>
        <v>--</v>
      </c>
      <c r="J24" s="73">
        <f t="shared" si="2"/>
        <v>3.3391483516483511</v>
      </c>
    </row>
    <row r="25" spans="2:10" ht="15" customHeight="1">
      <c r="B25" s="71" t="s">
        <v>14</v>
      </c>
      <c r="C25" s="72">
        <f t="shared" si="2"/>
        <v>1</v>
      </c>
      <c r="D25" s="72">
        <f t="shared" si="2"/>
        <v>5.81555023923445</v>
      </c>
      <c r="E25" s="72">
        <f t="shared" si="2"/>
        <v>0.3180141287284145</v>
      </c>
      <c r="F25" s="72" t="str">
        <f t="shared" si="2"/>
        <v>--</v>
      </c>
      <c r="G25" s="72" t="str">
        <f t="shared" si="2"/>
        <v>--</v>
      </c>
      <c r="H25" s="72" t="str">
        <f t="shared" si="2"/>
        <v>--</v>
      </c>
      <c r="I25" s="72" t="str">
        <f t="shared" si="2"/>
        <v>--</v>
      </c>
      <c r="J25" s="73">
        <f t="shared" si="2"/>
        <v>2.8422512755102041</v>
      </c>
    </row>
    <row r="26" spans="2:10" ht="25.5" customHeight="1">
      <c r="B26" s="71" t="s">
        <v>15</v>
      </c>
      <c r="C26" s="72">
        <f t="shared" si="2"/>
        <v>1</v>
      </c>
      <c r="D26" s="72">
        <f t="shared" si="2"/>
        <v>1.5508133971291864</v>
      </c>
      <c r="E26" s="72" t="str">
        <f t="shared" si="2"/>
        <v>--</v>
      </c>
      <c r="F26" s="72" t="str">
        <f t="shared" si="2"/>
        <v>--</v>
      </c>
      <c r="G26" s="72" t="str">
        <f t="shared" si="2"/>
        <v>--</v>
      </c>
      <c r="H26" s="72" t="str">
        <f t="shared" si="2"/>
        <v>--</v>
      </c>
      <c r="I26" s="72" t="str">
        <f t="shared" si="2"/>
        <v>--</v>
      </c>
      <c r="J26" s="73">
        <f t="shared" si="2"/>
        <v>0.72348214285714274</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Eaton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8103</v>
      </c>
      <c r="D7" s="104">
        <f>'Data Entry'!D6</f>
        <v>1045</v>
      </c>
      <c r="E7" s="105"/>
      <c r="F7" s="106">
        <f>'Data Entry'!E6</f>
        <v>910</v>
      </c>
      <c r="G7" s="105"/>
      <c r="H7" s="106">
        <f>'Data Entry'!F6</f>
        <v>239</v>
      </c>
      <c r="I7" s="105"/>
      <c r="J7" s="106">
        <f>'Data Entry'!G6</f>
        <v>0</v>
      </c>
      <c r="K7" s="105"/>
      <c r="L7" s="106">
        <f>'Data Entry'!H6</f>
        <v>46</v>
      </c>
      <c r="M7" s="105"/>
      <c r="N7" s="106">
        <f>'Data Entry'!I6</f>
        <v>0</v>
      </c>
      <c r="O7" s="105"/>
      <c r="P7" s="106">
        <f>'Data Entry'!J6</f>
        <v>2240</v>
      </c>
      <c r="Q7" s="107"/>
    </row>
    <row r="8" spans="2:26" s="1" customFormat="1" ht="15" customHeight="1">
      <c r="B8" s="142" t="s">
        <v>8</v>
      </c>
      <c r="C8" s="103">
        <f>'Data Entry'!C7</f>
        <v>13</v>
      </c>
      <c r="D8" s="104">
        <f>'Data Entry'!D7</f>
        <v>3</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41</v>
      </c>
      <c r="D9" s="108">
        <f>'Data Entry'!D8</f>
        <v>35</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37</v>
      </c>
      <c r="Q9" s="111" t="str">
        <f>'All Minorities'!G8</f>
        <v>**</v>
      </c>
      <c r="R9"/>
      <c r="T9" s="1">
        <f>'Black or African-American'!L8</f>
        <v>20</v>
      </c>
      <c r="U9" s="1">
        <f>Hispanic!L8</f>
        <v>40</v>
      </c>
      <c r="V9" s="1">
        <f>Asian!L8</f>
        <v>40</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27</v>
      </c>
      <c r="D12" s="112">
        <f>'Data Entry'!D11</f>
        <v>22</v>
      </c>
      <c r="E12" s="113">
        <f>'Black or African-American'!$G11</f>
        <v>0.95449735449735451</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24</v>
      </c>
      <c r="Q12" s="115">
        <f>'All Minorities'!G11</f>
        <v>0.98498498498498499</v>
      </c>
      <c r="R12"/>
      <c r="T12" s="1">
        <f>'Black or African-American'!L11</f>
        <v>2</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26</v>
      </c>
      <c r="D13" s="108">
        <f>'Data Entry'!D12</f>
        <v>22</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24</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28</v>
      </c>
      <c r="D14" s="112">
        <f>'Data Entry'!D13</f>
        <v>21</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22</v>
      </c>
      <c r="Q14" s="115" t="str">
        <f>'All Minorities'!G13</f>
        <v>--</v>
      </c>
      <c r="R14"/>
      <c r="T14" s="1">
        <f>'Black or African-American'!L13</f>
        <v>20</v>
      </c>
      <c r="U14" s="1">
        <f>Hispanic!L13</f>
        <v>40</v>
      </c>
      <c r="V14" s="1" t="e">
        <f>Asian!L13</f>
        <v>#VALUE!</v>
      </c>
      <c r="W14" s="1" t="e">
        <f>Hawaiian!L13</f>
        <v>#VALUE!</v>
      </c>
      <c r="X14" s="1" t="e">
        <f>'Am Indian'!L13</f>
        <v>#VALUE!</v>
      </c>
      <c r="Y14" s="1">
        <f>'Other - Mixed'!L13</f>
        <v>119</v>
      </c>
      <c r="Z14" s="1" t="e">
        <f>'All Minorities'!L13</f>
        <v>#DIV/0!</v>
      </c>
    </row>
    <row r="15" spans="2:26" s="1" customFormat="1" ht="33">
      <c r="B15" s="144" t="s">
        <v>123</v>
      </c>
      <c r="C15" s="103">
        <f>'Data Entry'!C14</f>
        <v>5</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Eaton</v>
      </c>
    </row>
    <row r="6" spans="1:12">
      <c r="A6" s="135" t="str">
        <f>CONCATENATE("Percentage of Minorities at Stages of the Juvenile Justice System, ", A5, " 2024")</f>
        <v>Percentage of Minorities at Stages of the Juvenile Justice System, County: Eaton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3.617410714285715</v>
      </c>
    </row>
    <row r="8" spans="1:12" ht="25.5" customHeight="1">
      <c r="A8" s="151" t="str">
        <f>CONCATENATE("Confinement, total N=", 'Data Entry'!B14)</f>
        <v>Confinement, total N=9</v>
      </c>
      <c r="B8" s="150">
        <f>'Data Entry'!D14/'Data Entry'!B14</f>
        <v>0.1111111111111111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0.55555555555555558</v>
      </c>
      <c r="K8" s="96" t="str">
        <f>A8</f>
        <v>Confinement, total N=9</v>
      </c>
      <c r="L8">
        <f>I14/(SUM(B14:G14))</f>
        <v>3.617410714285715</v>
      </c>
    </row>
    <row r="9" spans="1:12">
      <c r="A9" s="128" t="str">
        <f>CONCATENATE("Delinquent Findings, total N=", 'Data Entry'!B12)</f>
        <v>Delinquent Findings, total N=59</v>
      </c>
      <c r="B9" s="150">
        <f>'Data Entry'!D12/'Data Entry'!B12</f>
        <v>0.3728813559322034</v>
      </c>
      <c r="C9" s="150">
        <f>'Data Entry'!E12/'Data Entry'!B12</f>
        <v>1.6949152542372881E-2</v>
      </c>
      <c r="D9" s="150">
        <f>'Data Entry'!F12/'Data Entry'!B12</f>
        <v>0</v>
      </c>
      <c r="E9" s="150">
        <f>'Data Entry'!G12/'Data Entry'!B12</f>
        <v>0</v>
      </c>
      <c r="F9" s="150">
        <f>'Data Entry'!H12/'Data Entry'!B12</f>
        <v>0</v>
      </c>
      <c r="G9" s="150">
        <f>'Data Entry'!I12/'Data Entry'!B12</f>
        <v>1.6949152542372881E-2</v>
      </c>
      <c r="H9" s="150">
        <f>SUM(D9:G9)/'Data Entry'!B12</f>
        <v>2.8727377190462512E-4</v>
      </c>
      <c r="I9" s="150">
        <f>'Data Entry'!C12/'Data Entry'!B12</f>
        <v>0.44067796610169491</v>
      </c>
      <c r="K9" s="96" t="str">
        <f t="shared" si="0"/>
        <v>Delinquent Findings, total N=59</v>
      </c>
      <c r="L9">
        <f>I14/(SUM(B14:G14))</f>
        <v>3.617410714285715</v>
      </c>
    </row>
    <row r="10" spans="1:12">
      <c r="A10" s="128" t="str">
        <f>CONCATENATE("Petitions, total N=", 'Data Entry'!B11)</f>
        <v>Petitions, total N=64</v>
      </c>
      <c r="B10" s="150">
        <f>'Data Entry'!D11/'Data Entry'!B11</f>
        <v>0.34375</v>
      </c>
      <c r="C10" s="150">
        <f>'Data Entry'!E11/'Data Entry'!B11</f>
        <v>1.5625E-2</v>
      </c>
      <c r="D10" s="150">
        <f>'Data Entry'!F11/'Data Entry'!B11</f>
        <v>0</v>
      </c>
      <c r="E10" s="150">
        <f>'Data Entry'!G11/'Data Entry'!B11</f>
        <v>0</v>
      </c>
      <c r="F10" s="150">
        <f>'Data Entry'!H11/'Data Entry'!B11</f>
        <v>0</v>
      </c>
      <c r="G10" s="150">
        <f>'Data Entry'!I11/'Data Entry'!B11</f>
        <v>1.5625E-2</v>
      </c>
      <c r="H10" s="150">
        <f>SUM(D10:G10)/'Data Entry'!B11</f>
        <v>2.44140625E-4</v>
      </c>
      <c r="I10" s="150">
        <f>'Data Entry'!C11/'Data Entry'!B11</f>
        <v>0.421875</v>
      </c>
      <c r="K10" s="96" t="str">
        <f t="shared" si="0"/>
        <v>Petitions, total N=64</v>
      </c>
      <c r="L10">
        <f>I14/(SUM(B14:G14))</f>
        <v>3.617410714285715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3.617410714285715</v>
      </c>
    </row>
    <row r="12" spans="1:12">
      <c r="A12" s="128" t="str">
        <f>CONCATENATE("Referrals, total N=", 'Data Entry'!B8)</f>
        <v>Referrals, total N=116</v>
      </c>
      <c r="B12" s="150">
        <f>'Data Entry'!D8/'Data Entry'!B8</f>
        <v>0.30172413793103448</v>
      </c>
      <c r="C12" s="150">
        <f>'Data Entry'!E8/'Data Entry'!B8</f>
        <v>8.6206896551724137E-3</v>
      </c>
      <c r="D12" s="150">
        <f>'Data Entry'!F8/'Data Entry'!B8</f>
        <v>0</v>
      </c>
      <c r="E12" s="150">
        <f>'Data Entry'!G8/'Data Entry'!B8</f>
        <v>0</v>
      </c>
      <c r="F12" s="150">
        <f>'Data Entry'!H8/'Data Entry'!B8</f>
        <v>0</v>
      </c>
      <c r="G12" s="150">
        <f>'Data Entry'!I8/'Data Entry'!B8</f>
        <v>8.6206896551724137E-3</v>
      </c>
      <c r="H12" s="150">
        <f>SUM(D12:G12)/'Data Entry'!B8</f>
        <v>7.4316290130796664E-5</v>
      </c>
      <c r="I12" s="150">
        <f>'Data Entry'!C8/'Data Entry'!B8</f>
        <v>0.35344827586206895</v>
      </c>
      <c r="K12" s="96" t="str">
        <f t="shared" si="0"/>
        <v>Referrals, total N=116</v>
      </c>
      <c r="L12">
        <f>I14/(SUM(B14:G14))</f>
        <v>3.617410714285715</v>
      </c>
    </row>
    <row r="13" spans="1:12">
      <c r="A13" s="128" t="str">
        <f>CONCATENATE("Arrests, total N=", 'Data Entry'!B7)</f>
        <v>Arrests, total N=18</v>
      </c>
      <c r="B13" s="150">
        <f>'Data Entry'!D7/'Data Entry'!B7</f>
        <v>0.16666666666666666</v>
      </c>
      <c r="C13" s="150">
        <f>'Data Entry'!E7/'Data Entry'!B7</f>
        <v>5.5555555555555552E-2</v>
      </c>
      <c r="D13" s="150">
        <f>'Data Entry'!F7/'Data Entry'!B7</f>
        <v>0</v>
      </c>
      <c r="E13" s="150">
        <f>'Data Entry'!G7/'Data Entry'!B7</f>
        <v>0</v>
      </c>
      <c r="F13" s="150">
        <f>'Data Entry'!H7/'Data Entry'!B7</f>
        <v>0</v>
      </c>
      <c r="G13" s="150">
        <f>'Data Entry'!I7/'Data Entry'!B7</f>
        <v>0</v>
      </c>
      <c r="H13" s="150">
        <f>SUM(D13:G13)/'Data Entry'!B7</f>
        <v>0</v>
      </c>
      <c r="I13" s="150">
        <f>'Data Entry'!C7/'Data Entry'!B7</f>
        <v>0.72222222222222221</v>
      </c>
      <c r="K13" s="96" t="str">
        <f t="shared" si="0"/>
        <v>Arrests, total N=18</v>
      </c>
      <c r="L13">
        <f>I14/(SUM(B14:G14))</f>
        <v>3.617410714285715</v>
      </c>
    </row>
    <row r="14" spans="1:12">
      <c r="A14" s="128" t="str">
        <f>CONCATENATE("Population, total N=", 'Data Entry'!B6)</f>
        <v>Population, total N=10343</v>
      </c>
      <c r="B14" s="150">
        <f>'Data Entry'!D6/'Data Entry'!B6</f>
        <v>0.10103451609784395</v>
      </c>
      <c r="C14" s="150">
        <f>'Data Entry'!E6/'Data Entry'!B6</f>
        <v>8.7982210190466981E-2</v>
      </c>
      <c r="D14" s="150">
        <f>'Data Entry'!F6/'Data Entry'!B6</f>
        <v>2.3107415643430339E-2</v>
      </c>
      <c r="E14" s="150">
        <f>'Data Entry'!G6/'Data Entry'!B6</f>
        <v>0</v>
      </c>
      <c r="F14" s="150">
        <f>'Data Entry'!H6/'Data Entry'!B6</f>
        <v>4.4474523832543746E-3</v>
      </c>
      <c r="G14" s="150">
        <f>'Data Entry'!I6/'Data Entry'!B6</f>
        <v>0</v>
      </c>
      <c r="H14" s="150">
        <f>SUM(D14:G14)/'Data Entry'!B6</f>
        <v>2.6641079016421456E-6</v>
      </c>
      <c r="I14" s="150">
        <f>'Data Entry'!C6/'Data Entry'!B6</f>
        <v>0.78342840568500438</v>
      </c>
      <c r="K14" s="96" t="str">
        <f t="shared" si="0"/>
        <v>Population, total N=10343</v>
      </c>
      <c r="L14">
        <f>I14/(SUM(B14:G14))</f>
        <v>3.617410714285715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Eaton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8103</v>
      </c>
      <c r="D7" s="104">
        <f>'Data Entry'!D6</f>
        <v>1045</v>
      </c>
      <c r="E7" s="105"/>
      <c r="F7" s="106">
        <f>'Data Entry'!E6</f>
        <v>910</v>
      </c>
      <c r="G7" s="105"/>
      <c r="H7" s="106">
        <f>'Data Entry'!F6</f>
        <v>239</v>
      </c>
      <c r="I7" s="105"/>
      <c r="J7" s="106">
        <f>'Data Entry'!J6</f>
        <v>2240</v>
      </c>
      <c r="K7" s="107"/>
    </row>
    <row r="8" spans="2:30" s="1" customFormat="1" ht="15" customHeight="1">
      <c r="B8" s="121" t="s">
        <v>8</v>
      </c>
      <c r="C8" s="103">
        <f>'Data Entry'!C7</f>
        <v>13</v>
      </c>
      <c r="D8" s="104">
        <f>'Data Entry'!D7</f>
        <v>3</v>
      </c>
      <c r="E8" s="105" t="str">
        <f>'Black or African-American'!$G7</f>
        <v>**</v>
      </c>
      <c r="F8" s="106">
        <f>'Data Entry'!E7</f>
        <v>1</v>
      </c>
      <c r="G8" s="105" t="str">
        <f>Hispanic!G7</f>
        <v>**</v>
      </c>
      <c r="H8" s="106">
        <f>'Data Entry'!F7</f>
        <v>0</v>
      </c>
      <c r="I8" s="105" t="str">
        <f>Asian!G7</f>
        <v>**</v>
      </c>
      <c r="J8" s="106">
        <f>'Data Entry'!J7</f>
        <v>4</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41</v>
      </c>
      <c r="D9" s="108">
        <f>'Data Entry'!D8</f>
        <v>35</v>
      </c>
      <c r="E9" s="109" t="str">
        <f>'Black or African-American'!$G8</f>
        <v>**</v>
      </c>
      <c r="F9" s="110">
        <f>'Data Entry'!E8</f>
        <v>1</v>
      </c>
      <c r="G9" s="109" t="str">
        <f>Hispanic!G8</f>
        <v>**</v>
      </c>
      <c r="H9" s="110">
        <f>'Data Entry'!F8</f>
        <v>0</v>
      </c>
      <c r="I9" s="109" t="str">
        <f>Asian!G8</f>
        <v>**</v>
      </c>
      <c r="J9" s="110">
        <f>'Data Entry'!J8</f>
        <v>37</v>
      </c>
      <c r="K9" s="111" t="str">
        <f>'All Minorities'!G8</f>
        <v>**</v>
      </c>
      <c r="L9"/>
      <c r="N9" s="1">
        <f>'Black or African-American'!L8</f>
        <v>20</v>
      </c>
      <c r="O9" s="1">
        <f>Hispanic!L8</f>
        <v>40</v>
      </c>
      <c r="P9" s="1">
        <f>Asian!L8</f>
        <v>40</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27</v>
      </c>
      <c r="D12" s="112">
        <f>'Data Entry'!D11</f>
        <v>22</v>
      </c>
      <c r="E12" s="113">
        <f>'Black or African-American'!$G11</f>
        <v>0.95449735449735451</v>
      </c>
      <c r="F12" s="114">
        <f>'Data Entry'!E11</f>
        <v>1</v>
      </c>
      <c r="G12" s="113" t="str">
        <f>Hispanic!G11</f>
        <v>**</v>
      </c>
      <c r="H12" s="114">
        <f>'Data Entry'!F11</f>
        <v>0</v>
      </c>
      <c r="I12" s="113" t="str">
        <f>Asian!G11</f>
        <v>--</v>
      </c>
      <c r="J12" s="114">
        <f>'Data Entry'!J11</f>
        <v>24</v>
      </c>
      <c r="K12" s="115">
        <f>'All Minorities'!G11</f>
        <v>0.98498498498498499</v>
      </c>
      <c r="L12"/>
      <c r="N12" s="1">
        <f>'Black or African-American'!L11</f>
        <v>2</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26</v>
      </c>
      <c r="D13" s="108">
        <f>'Data Entry'!D12</f>
        <v>22</v>
      </c>
      <c r="E13" s="109" t="str">
        <f>'Black or African-American'!$G12</f>
        <v>**</v>
      </c>
      <c r="F13" s="110">
        <f>'Data Entry'!E12</f>
        <v>1</v>
      </c>
      <c r="G13" s="109" t="str">
        <f>Hispanic!G12</f>
        <v>**</v>
      </c>
      <c r="H13" s="110">
        <f>'Data Entry'!F12</f>
        <v>0</v>
      </c>
      <c r="I13" s="109" t="str">
        <f>Asian!G12</f>
        <v>--</v>
      </c>
      <c r="J13" s="110">
        <f>'Data Entry'!J12</f>
        <v>24</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28</v>
      </c>
      <c r="D14" s="112">
        <f>'Data Entry'!D13</f>
        <v>21</v>
      </c>
      <c r="E14" s="113" t="str">
        <f>'Black or African-American'!$G13</f>
        <v>**</v>
      </c>
      <c r="F14" s="114">
        <f>'Data Entry'!E13</f>
        <v>1</v>
      </c>
      <c r="G14" s="113" t="str">
        <f>Hispanic!G13</f>
        <v>**</v>
      </c>
      <c r="H14" s="114">
        <f>'Data Entry'!F13</f>
        <v>0</v>
      </c>
      <c r="I14" s="113" t="str">
        <f>Asian!G13</f>
        <v>--</v>
      </c>
      <c r="J14" s="114">
        <f>'Data Entry'!J13</f>
        <v>22</v>
      </c>
      <c r="K14" s="115" t="str">
        <f>'All Minorities'!G13</f>
        <v>--</v>
      </c>
      <c r="L14"/>
      <c r="N14" s="1">
        <f>'Black or African-American'!L13</f>
        <v>20</v>
      </c>
      <c r="O14" s="1">
        <f>Hispanic!L13</f>
        <v>40</v>
      </c>
      <c r="P14" s="1" t="e">
        <f>Asian!L13</f>
        <v>#VALUE!</v>
      </c>
      <c r="Q14" s="1" t="e">
        <f>Hawaiian!L13</f>
        <v>#VALUE!</v>
      </c>
      <c r="R14" s="1" t="e">
        <f>'Am Indian'!L13</f>
        <v>#VALUE!</v>
      </c>
      <c r="S14" s="1">
        <f>'Other - Mixed'!L13</f>
        <v>119</v>
      </c>
      <c r="T14" s="1" t="e">
        <f>'All Minorities'!L13</f>
        <v>#DIV/0!</v>
      </c>
      <c r="W14" s="8"/>
      <c r="X14" s="8"/>
      <c r="Y14" s="8"/>
      <c r="Z14" s="8"/>
      <c r="AA14" s="8"/>
      <c r="AB14" s="8"/>
      <c r="AC14" s="8"/>
      <c r="AD14" s="8"/>
    </row>
    <row r="15" spans="2:30" s="1" customFormat="1" ht="33">
      <c r="B15" s="126" t="s">
        <v>123</v>
      </c>
      <c r="C15" s="103">
        <f>'Data Entry'!C14</f>
        <v>5</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Entry'!D6</f>
        <v>1045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Entry'!D7</f>
        <v>3</v>
      </c>
      <c r="F7" s="34">
        <f>IF((AND($E$7&gt;0,$D$66&gt;0)),($E$7/$D$66),0)</f>
        <v>2.8708133971291869</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3</v>
      </c>
      <c r="O7" s="42">
        <f>E6-E7</f>
        <v>1042</v>
      </c>
      <c r="P7" s="42">
        <f t="shared" ref="P7:P15" si="2">C7</f>
        <v>13</v>
      </c>
      <c r="Q7" s="42">
        <f>C6-C7</f>
        <v>8090</v>
      </c>
      <c r="R7" s="42">
        <f t="shared" ref="R7:R15" si="3">SUM(N7:Q7)</f>
        <v>9148</v>
      </c>
      <c r="S7" s="30">
        <f t="shared" ref="S7:S15" si="4">R7*((((N7*Q7)-(O7*P7))^2))</f>
        <v>1052058202048</v>
      </c>
      <c r="T7" s="30">
        <f t="shared" ref="T7:T15" si="5">(N7+O7)*(P7+Q7)*(N7+P7)*(O7+Q7)</f>
        <v>1237223085120</v>
      </c>
      <c r="U7" s="31">
        <f t="shared" ref="U7:U15" si="6">IF((S7&gt;0),S7/T7,"- -")</f>
        <v>0.8503383219251518</v>
      </c>
    </row>
    <row r="8" spans="2:21" ht="18" customHeight="1">
      <c r="B8" s="32" t="str">
        <f>'Data Entry'!A8</f>
        <v>3. Refer to Juvenile Court</v>
      </c>
      <c r="C8" s="33">
        <f>'Data Entry'!C8</f>
        <v>41</v>
      </c>
      <c r="D8" s="34">
        <f>IF((AND(C67&gt;0,C8&gt;0)),(C8/C67),0)</f>
        <v>315.38461538461536</v>
      </c>
      <c r="E8" s="33">
        <f>'Data Entry'!D8</f>
        <v>35</v>
      </c>
      <c r="F8" s="34">
        <f>IF((AND($E$8&gt;0,$D$67&gt;0)),($E8/$D67),0)</f>
        <v>1166.6666666666667</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35</v>
      </c>
      <c r="O8" s="42">
        <f>((D67*L67)-E8)+0.05</f>
        <v>-31.95</v>
      </c>
      <c r="P8" s="42">
        <f t="shared" si="2"/>
        <v>41</v>
      </c>
      <c r="Q8" s="42">
        <f>(C$67*L67)-C8</f>
        <v>-28</v>
      </c>
      <c r="R8" s="42">
        <f t="shared" si="3"/>
        <v>16.049999999999997</v>
      </c>
      <c r="S8" s="30">
        <f t="shared" si="4"/>
        <v>1747315.3901250002</v>
      </c>
      <c r="T8" s="30">
        <f t="shared" si="5"/>
        <v>-180653.33000000005</v>
      </c>
      <c r="U8" s="31">
        <f t="shared" si="6"/>
        <v>-9.6722013932707451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35</v>
      </c>
      <c r="P9" s="42">
        <f t="shared" si="2"/>
        <v>0</v>
      </c>
      <c r="Q9" s="42">
        <f>(C$68*L68)-C9</f>
        <v>41</v>
      </c>
      <c r="R9" s="42">
        <f t="shared" si="3"/>
        <v>76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35</v>
      </c>
      <c r="P10" s="42">
        <f t="shared" si="2"/>
        <v>0</v>
      </c>
      <c r="Q10" s="42">
        <f>(C$68*L68)-C10</f>
        <v>41</v>
      </c>
      <c r="R10" s="42">
        <f t="shared" si="3"/>
        <v>76</v>
      </c>
      <c r="S10" s="30">
        <f t="shared" si="4"/>
        <v>0</v>
      </c>
      <c r="T10" s="30">
        <f t="shared" si="5"/>
        <v>0</v>
      </c>
      <c r="U10" s="31" t="str">
        <f t="shared" si="6"/>
        <v>- -</v>
      </c>
    </row>
    <row r="11" spans="2:21" ht="18" customHeight="1">
      <c r="B11" s="32" t="str">
        <f>'Data Entry'!A11</f>
        <v>6. Cases Petitioned (Charge Filed)</v>
      </c>
      <c r="C11" s="33">
        <f>'Data Entry'!C11</f>
        <v>27</v>
      </c>
      <c r="D11" s="34">
        <f>IF(((AND(C68&gt;0,C11&gt;0))),(C11/(C68)),0)</f>
        <v>65.853658536585371</v>
      </c>
      <c r="E11" s="33">
        <f>'Data Entry'!D11</f>
        <v>22</v>
      </c>
      <c r="F11" s="34">
        <f>IF(((AND($E$11&gt;0,$D$68&gt;0))),($E$11/($D$68)),0)</f>
        <v>62.857142857142861</v>
      </c>
      <c r="G11" s="39">
        <f t="shared" si="7"/>
        <v>0.95449735449735451</v>
      </c>
      <c r="H11" s="40"/>
      <c r="I11" s="41"/>
      <c r="J11" s="40">
        <f>IF((ABS($U11)&gt;Defaults!D$7),1,2)</f>
        <v>2</v>
      </c>
      <c r="K11" s="39">
        <f>IF((AND(N11&gt;Defaults!B$12,(N11+O11)&gt;Defaults!B$13, P11 &gt; Defaults!B$12, (P11+Q11) &gt; Defaults!B$13)),1,20)</f>
        <v>1</v>
      </c>
      <c r="L11" s="1">
        <f t="shared" si="8"/>
        <v>2</v>
      </c>
      <c r="M11" s="1" t="b">
        <f t="shared" si="0"/>
        <v>1</v>
      </c>
      <c r="N11" s="42">
        <f t="shared" si="1"/>
        <v>22</v>
      </c>
      <c r="O11" s="42">
        <f>(D$68*L68)-E11</f>
        <v>13</v>
      </c>
      <c r="P11" s="42">
        <f t="shared" si="2"/>
        <v>27</v>
      </c>
      <c r="Q11" s="42">
        <f>(C$68*L68)-C11</f>
        <v>14</v>
      </c>
      <c r="R11" s="42">
        <f t="shared" si="3"/>
        <v>76</v>
      </c>
      <c r="S11" s="30">
        <f t="shared" si="4"/>
        <v>140524</v>
      </c>
      <c r="T11" s="30">
        <f t="shared" si="5"/>
        <v>1898505</v>
      </c>
      <c r="U11" s="31">
        <f t="shared" si="6"/>
        <v>7.4018240668315333E-2</v>
      </c>
    </row>
    <row r="12" spans="2:21" ht="18" customHeight="1">
      <c r="B12" s="32" t="str">
        <f>'Data Entry'!A12</f>
        <v>7. Cases Resulting in Delinquent Findings</v>
      </c>
      <c r="C12" s="33">
        <f>'Data Entry'!C12</f>
        <v>26</v>
      </c>
      <c r="D12" s="34">
        <f>IF(((AND(C69&gt;0,C12&gt;0))),(C12/(C69)),0)</f>
        <v>96.296296296296291</v>
      </c>
      <c r="E12" s="33">
        <f>'Data Entry'!D12</f>
        <v>22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22</v>
      </c>
      <c r="O12" s="42">
        <f>(D69*L69)-E12</f>
        <v>0</v>
      </c>
      <c r="P12" s="42">
        <f t="shared" si="2"/>
        <v>26</v>
      </c>
      <c r="Q12" s="42">
        <f>(C69*L69)-C12</f>
        <v>1</v>
      </c>
      <c r="R12" s="42">
        <f t="shared" si="3"/>
        <v>49</v>
      </c>
      <c r="S12" s="30">
        <f t="shared" si="4"/>
        <v>23716</v>
      </c>
      <c r="T12" s="30">
        <f t="shared" si="5"/>
        <v>28512</v>
      </c>
      <c r="U12" s="31">
        <f t="shared" si="6"/>
        <v>0.83179012345679015</v>
      </c>
    </row>
    <row r="13" spans="2:21" ht="18" customHeight="1">
      <c r="B13" s="32" t="str">
        <f>'Data Entry'!A13</f>
        <v>8. Cases Resulting in Probation Placement</v>
      </c>
      <c r="C13" s="33">
        <f>'Data Entry'!C13</f>
        <v>28</v>
      </c>
      <c r="D13" s="34">
        <f>IF(((AND(C70&gt;0,C13&gt;0))),(C13/(C70)),0)</f>
        <v>107.69230769230769</v>
      </c>
      <c r="E13" s="33">
        <f>'Data Entry'!D13</f>
        <v>21</v>
      </c>
      <c r="F13" s="34">
        <f>IF(((AND($D$70&gt;0,$E$13&gt;0))),($E$13/($D$70)),0)</f>
        <v>95.454545454545453</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21</v>
      </c>
      <c r="O13" s="42">
        <f>(D70*L70)-E13</f>
        <v>1</v>
      </c>
      <c r="P13" s="42">
        <f t="shared" si="2"/>
        <v>28</v>
      </c>
      <c r="Q13" s="42">
        <f>(C70*L70)-C13</f>
        <v>-2</v>
      </c>
      <c r="R13" s="42">
        <f t="shared" si="3"/>
        <v>48</v>
      </c>
      <c r="S13" s="30">
        <f t="shared" si="4"/>
        <v>235200</v>
      </c>
      <c r="T13" s="30">
        <f t="shared" si="5"/>
        <v>-28028</v>
      </c>
      <c r="U13" s="31">
        <f t="shared" si="6"/>
        <v>-8.3916083916083917</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Entry'!D14</f>
        <v>1</v>
      </c>
      <c r="F14" s="34">
        <f>IF(((AND($D$70&gt;0,$E$14&gt;0))), (($E$14/($D$70))),0)</f>
        <v>4.5454545454545459</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21</v>
      </c>
      <c r="P14" s="42">
        <f t="shared" si="2"/>
        <v>5</v>
      </c>
      <c r="Q14" s="42">
        <f>(C70*L70)-C14</f>
        <v>21</v>
      </c>
      <c r="R14" s="42">
        <f t="shared" si="3"/>
        <v>48</v>
      </c>
      <c r="S14" s="30">
        <f t="shared" si="4"/>
        <v>338688</v>
      </c>
      <c r="T14" s="30">
        <f t="shared" si="5"/>
        <v>144144</v>
      </c>
      <c r="U14" s="31">
        <f t="shared" si="6"/>
        <v>2.3496503496503496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22</v>
      </c>
      <c r="P15" s="42">
        <f t="shared" si="2"/>
        <v>0</v>
      </c>
      <c r="Q15" s="42">
        <f>(C69*L69)-C15</f>
        <v>27</v>
      </c>
      <c r="R15" s="42">
        <f t="shared" si="3"/>
        <v>49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1.0449999999999999</v>
      </c>
      <c r="E42" s="56">
        <f>MAX(C42:D42)</f>
        <v>8.1029999999999998</v>
      </c>
      <c r="G42" s="1" t="str">
        <f>B42</f>
        <v>per 1000 youth</v>
      </c>
      <c r="L42" s="57">
        <v>1000</v>
      </c>
      <c r="M42" s="57"/>
      <c r="R42" s="49"/>
    </row>
    <row r="43" spans="2:18" ht="15" hidden="1" customHeight="1">
      <c r="B43" s="49" t="s">
        <v>87</v>
      </c>
      <c r="C43" s="56">
        <f>C7/100</f>
        <v>0.13</v>
      </c>
      <c r="D43" s="56">
        <f>E7/100</f>
        <v>0.03</v>
      </c>
      <c r="E43" s="56">
        <f>MAX(C43:D43,0)</f>
        <v>0.13</v>
      </c>
      <c r="G43" s="1" t="str">
        <f>B43</f>
        <v>per 100 arrests</v>
      </c>
      <c r="L43" s="57">
        <v>100</v>
      </c>
      <c r="M43" s="57"/>
      <c r="R43" s="49"/>
    </row>
    <row r="44" spans="2:18" ht="15" hidden="1" customHeight="1">
      <c r="B44" s="49" t="s">
        <v>88</v>
      </c>
      <c r="C44" s="56">
        <f>C8/100</f>
        <v>0.41</v>
      </c>
      <c r="D44" s="56">
        <f>E8/100</f>
        <v>0.35</v>
      </c>
      <c r="E44" s="56">
        <f>MAX(C44:D44,0)</f>
        <v>0.41</v>
      </c>
      <c r="G44" s="1" t="str">
        <f>B44</f>
        <v>per 100 referrals</v>
      </c>
      <c r="L44" s="57">
        <v>100</v>
      </c>
      <c r="M44" s="57"/>
      <c r="R44" s="49"/>
    </row>
    <row r="45" spans="2:18" ht="15" hidden="1" customHeight="1">
      <c r="B45" s="49" t="s">
        <v>89</v>
      </c>
      <c r="C45" s="49">
        <f>C11/100</f>
        <v>0.27</v>
      </c>
      <c r="D45" s="49">
        <f>E11/100</f>
        <v>0.22</v>
      </c>
      <c r="E45" s="56">
        <f>MAX(C45:D45,0)</f>
        <v>0.27</v>
      </c>
      <c r="G45" s="1" t="str">
        <f>B45</f>
        <v>per 100 youth petitioned</v>
      </c>
      <c r="L45" s="57">
        <v>100</v>
      </c>
      <c r="M45" s="57"/>
      <c r="R45" s="49"/>
    </row>
    <row r="46" spans="2:18" ht="15" hidden="1" customHeight="1">
      <c r="B46" s="49" t="s">
        <v>90</v>
      </c>
      <c r="C46" s="49">
        <f>C12/100</f>
        <v>0.26</v>
      </c>
      <c r="D46" s="49">
        <f>E12/100</f>
        <v>0.22</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1.0449999999999999</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0.13</v>
      </c>
      <c r="D49" s="49">
        <f t="shared" si="9"/>
        <v>0.03</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0.35</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0.22</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0.22</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1.0449999999999999</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0.03</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0.35</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0.22</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0.22</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1.0449999999999999</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0.03</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0.35</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0.22</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0.22</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1.0449999999999999</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0.03</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0.35</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0.22</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0.22</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Entry'!F6</f>
        <v>239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239</v>
      </c>
      <c r="P7" s="42">
        <f t="shared" ref="P7:P15" si="4">C7</f>
        <v>13</v>
      </c>
      <c r="Q7" s="42">
        <f>C6-C7</f>
        <v>8090</v>
      </c>
      <c r="R7" s="42">
        <f t="shared" ref="R7:R15" si="5">SUM(N7:Q7)</f>
        <v>8342</v>
      </c>
      <c r="S7" s="30">
        <f t="shared" ref="S7:S15" si="6">R7*((((N7*Q7)-(O7*P7))^2))</f>
        <v>80529071558</v>
      </c>
      <c r="T7" s="30">
        <f t="shared" ref="T7:T15" si="7">(N7+O7)*(P7+Q7)*(N7+P7)*(O7+Q7)</f>
        <v>209691078909</v>
      </c>
      <c r="U7" s="31">
        <f t="shared" ref="U7:U15" si="8">IF((S7&gt;0),S7/T7,"- -")</f>
        <v>0.38403670760331843</v>
      </c>
    </row>
    <row r="8" spans="2:21" ht="18" customHeight="1">
      <c r="B8" s="32" t="str">
        <f>'Data Entry'!A8</f>
        <v>3. Refer to Juvenile Court</v>
      </c>
      <c r="C8" s="33">
        <f>'Data Entry'!C8</f>
        <v>41</v>
      </c>
      <c r="D8" s="34">
        <f>IF((AND(C67&gt;0,C8&gt;0)),(C8/C67),0)</f>
        <v>315.38461538461536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41</v>
      </c>
      <c r="Q8" s="42">
        <f>(C$67*L67)-C8</f>
        <v>-28</v>
      </c>
      <c r="R8" s="42">
        <f t="shared" si="5"/>
        <v>13.049999999999997</v>
      </c>
      <c r="S8" s="30">
        <f t="shared" si="6"/>
        <v>54.842625000000005</v>
      </c>
      <c r="T8" s="30">
        <f t="shared" si="7"/>
        <v>-744.86750000000006</v>
      </c>
      <c r="U8" s="31">
        <f t="shared" si="8"/>
        <v>-7.362735654327783E-2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41</v>
      </c>
      <c r="R9" s="42">
        <f t="shared" si="5"/>
        <v>41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41</v>
      </c>
      <c r="R10" s="42">
        <f t="shared" si="5"/>
        <v>41</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14</v>
      </c>
      <c r="R11" s="42">
        <f t="shared" si="5"/>
        <v>41</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96.296296296296291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v>
      </c>
      <c r="R12" s="42">
        <f t="shared" si="5"/>
        <v>27</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107.69230769230769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-2</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0.23899999999999999</v>
      </c>
      <c r="E42" s="56">
        <f>MAX(C42:D42)</f>
        <v>8.1029999999999998</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0.41</v>
      </c>
      <c r="D44" s="56">
        <f>E8/100</f>
        <v>0</v>
      </c>
      <c r="E44" s="56">
        <f>MAX(C44:D44,0)</f>
        <v>0.41</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0.23899999999999999</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0.23899999999999999</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0.23899999999999999</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0.23899999999999999</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Entry'!E6</f>
        <v>910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Entry'!E7</f>
        <v>1</v>
      </c>
      <c r="F7" s="34">
        <f>IF((AND($E$7&gt;0,$D$66&gt;0)),($E$7/$D$66),0)</f>
        <v>1.0989010989010988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909</v>
      </c>
      <c r="P7" s="42">
        <f t="shared" ref="P7:P15" si="4">C7</f>
        <v>13</v>
      </c>
      <c r="Q7" s="42">
        <f>C6-C7</f>
        <v>8090</v>
      </c>
      <c r="R7" s="42">
        <f t="shared" ref="R7:R15" si="5">SUM(N7:Q7)</f>
        <v>9013</v>
      </c>
      <c r="S7" s="30">
        <f t="shared" ref="S7:S15" si="6">R7*((((N7*Q7)-(O7*P7))^2))</f>
        <v>125195337877</v>
      </c>
      <c r="T7" s="30">
        <f t="shared" ref="T7:T15" si="7">(N7+O7)*(P7+Q7)*(N7+P7)*(O7+Q7)</f>
        <v>928986747780</v>
      </c>
      <c r="U7" s="31">
        <f t="shared" ref="U7:U15" si="8">IF((S7&gt;0),S7/T7,"- -")</f>
        <v>0.13476547235596131</v>
      </c>
    </row>
    <row r="8" spans="2:21" ht="18" customHeight="1">
      <c r="B8" s="32" t="str">
        <f>'Data Entry'!A8</f>
        <v>3. Refer to Juvenile Court</v>
      </c>
      <c r="C8" s="33">
        <f>'Data Entry'!C8</f>
        <v>41</v>
      </c>
      <c r="D8" s="34">
        <f>IF((AND(C67&gt;0,C8&gt;0)),(C8/C67),0)</f>
        <v>315.38461538461536</v>
      </c>
      <c r="E8" s="33">
        <f>'Data Entry'!E8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41</v>
      </c>
      <c r="Q8" s="42">
        <f>(C$67*L67)-C8</f>
        <v>-28</v>
      </c>
      <c r="R8" s="42">
        <f t="shared" si="5"/>
        <v>14.049999999999997</v>
      </c>
      <c r="S8" s="30">
        <f t="shared" si="6"/>
        <v>12687.185124999998</v>
      </c>
      <c r="T8" s="30">
        <f t="shared" si="7"/>
        <v>-16023.735000000002</v>
      </c>
      <c r="U8" s="31">
        <f t="shared" si="8"/>
        <v>-0.79177452229458345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41</v>
      </c>
      <c r="R9" s="42">
        <f t="shared" si="5"/>
        <v>42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41</v>
      </c>
      <c r="R10" s="42">
        <f t="shared" si="5"/>
        <v>42</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27</v>
      </c>
      <c r="Q11" s="42">
        <f>(C$68*L68)-C11</f>
        <v>14</v>
      </c>
      <c r="R11" s="42">
        <f t="shared" si="5"/>
        <v>42</v>
      </c>
      <c r="S11" s="30">
        <f t="shared" si="6"/>
        <v>8232</v>
      </c>
      <c r="T11" s="30">
        <f t="shared" si="7"/>
        <v>16072</v>
      </c>
      <c r="U11" s="31">
        <f t="shared" si="8"/>
        <v>0.51219512195121952</v>
      </c>
    </row>
    <row r="12" spans="2:21" ht="18" customHeight="1">
      <c r="B12" s="32" t="str">
        <f>'Data Entry'!A12</f>
        <v>7. Cases Resulting in Delinquent Findings</v>
      </c>
      <c r="C12" s="33">
        <f>'Data Entry'!C12</f>
        <v>26</v>
      </c>
      <c r="D12" s="34">
        <f>IF(((AND(C69&gt;0,C12&gt;0))),(C12/(C69)),0)</f>
        <v>96.296296296296291</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26</v>
      </c>
      <c r="Q12" s="42">
        <f>(C69*L69)-C12</f>
        <v>1</v>
      </c>
      <c r="R12" s="42">
        <f t="shared" si="5"/>
        <v>28</v>
      </c>
      <c r="S12" s="30">
        <f t="shared" si="6"/>
        <v>28</v>
      </c>
      <c r="T12" s="30">
        <f t="shared" si="7"/>
        <v>729</v>
      </c>
      <c r="U12" s="31">
        <f t="shared" si="8"/>
        <v>3.8408779149519894E-2</v>
      </c>
    </row>
    <row r="13" spans="2:21" ht="18" customHeight="1">
      <c r="B13" s="32" t="str">
        <f>'Data Entry'!A13</f>
        <v>8. Cases Resulting in Probation Placement</v>
      </c>
      <c r="C13" s="33">
        <f>'Data Entry'!C13</f>
        <v>28</v>
      </c>
      <c r="D13" s="34">
        <f>IF(((AND(C70&gt;0,C13&gt;0))),(C13/(C70)),0)</f>
        <v>107.69230769230769</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28</v>
      </c>
      <c r="Q13" s="42">
        <f>(C70*L70)-C13</f>
        <v>-2</v>
      </c>
      <c r="R13" s="42">
        <f t="shared" si="5"/>
        <v>27</v>
      </c>
      <c r="S13" s="30">
        <f t="shared" si="6"/>
        <v>108</v>
      </c>
      <c r="T13" s="30">
        <f t="shared" si="7"/>
        <v>-1508</v>
      </c>
      <c r="U13" s="31">
        <f t="shared" si="8"/>
        <v>-7.161803713527852E-2</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5</v>
      </c>
      <c r="Q14" s="42">
        <f>(C70*L70)-C14</f>
        <v>21</v>
      </c>
      <c r="R14" s="42">
        <f t="shared" si="5"/>
        <v>27</v>
      </c>
      <c r="S14" s="30">
        <f t="shared" si="6"/>
        <v>675</v>
      </c>
      <c r="T14" s="30">
        <f t="shared" si="7"/>
        <v>2860</v>
      </c>
      <c r="U14" s="31">
        <f t="shared" si="8"/>
        <v>0.23601398601398602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27</v>
      </c>
      <c r="R15" s="42">
        <f t="shared" si="5"/>
        <v>28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0.91</v>
      </c>
      <c r="E42" s="56">
        <f>MAX(C42:D42)</f>
        <v>8.1029999999999998</v>
      </c>
      <c r="G42" s="1" t="str">
        <f>B42</f>
        <v>per 1000 youth</v>
      </c>
      <c r="L42" s="57">
        <v>1000</v>
      </c>
      <c r="M42" s="57"/>
      <c r="R42" s="49"/>
    </row>
    <row r="43" spans="2:18" ht="15" hidden="1" customHeight="1">
      <c r="B43" s="49" t="s">
        <v>87</v>
      </c>
      <c r="C43" s="56">
        <f>C7/100</f>
        <v>0.13</v>
      </c>
      <c r="D43" s="56">
        <f>E7/100</f>
        <v>0.01</v>
      </c>
      <c r="E43" s="56">
        <f>MAX(C43:D43,0)</f>
        <v>0.13</v>
      </c>
      <c r="G43" s="1" t="str">
        <f>B43</f>
        <v>per 100 arrests</v>
      </c>
      <c r="L43" s="57">
        <v>100</v>
      </c>
      <c r="M43" s="57"/>
      <c r="R43" s="49"/>
    </row>
    <row r="44" spans="2:18" ht="15" hidden="1" customHeight="1">
      <c r="B44" s="49" t="s">
        <v>88</v>
      </c>
      <c r="C44" s="56">
        <f>C8/100</f>
        <v>0.41</v>
      </c>
      <c r="D44" s="56">
        <f>E8/100</f>
        <v>0.01</v>
      </c>
      <c r="E44" s="56">
        <f>MAX(C44:D44,0)</f>
        <v>0.41</v>
      </c>
      <c r="G44" s="1" t="str">
        <f>B44</f>
        <v>per 100 referrals</v>
      </c>
      <c r="L44" s="57">
        <v>100</v>
      </c>
      <c r="M44" s="57"/>
      <c r="R44" s="49"/>
    </row>
    <row r="45" spans="2:18" ht="15" hidden="1" customHeight="1">
      <c r="B45" s="49" t="s">
        <v>89</v>
      </c>
      <c r="C45" s="49">
        <f>C11/100</f>
        <v>0.27</v>
      </c>
      <c r="D45" s="49">
        <f>E11/100</f>
        <v>0.01</v>
      </c>
      <c r="E45" s="56">
        <f>MAX(C45:D45,0)</f>
        <v>0.27</v>
      </c>
      <c r="G45" s="1" t="str">
        <f>B45</f>
        <v>per 100 youth petitioned</v>
      </c>
      <c r="L45" s="57">
        <v>100</v>
      </c>
      <c r="M45" s="57"/>
      <c r="R45" s="49"/>
    </row>
    <row r="46" spans="2:18" ht="15" hidden="1" customHeight="1">
      <c r="B46" s="49" t="s">
        <v>90</v>
      </c>
      <c r="C46" s="49">
        <f>C12/100</f>
        <v>0.26</v>
      </c>
      <c r="D46" s="49">
        <f>E12/100</f>
        <v>0.01</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0.91</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0.01</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0.01</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0.01</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0.01</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0.91</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0.01</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0.01</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0.01</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0.01</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0.91</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0.01</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0.01</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0.01</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0.01</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0.91</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0.01</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0.01</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0.01</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0.01</v>
      </c>
      <c r="E70" s="56">
        <f>MAX(C70:D70)</f>
        <v>0.26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8090</v>
      </c>
      <c r="R7" s="42">
        <f t="shared" ref="R7:R15" si="5">SUM(N7:Q7)</f>
        <v>8103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41</v>
      </c>
      <c r="D8" s="34">
        <f>IF((AND(C67&gt;0,C8&gt;0)),(C8/C67),0)</f>
        <v>315.38461538461536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41</v>
      </c>
      <c r="Q8" s="42">
        <f>(C$67*L67)-C8</f>
        <v>-28</v>
      </c>
      <c r="R8" s="42">
        <f t="shared" si="5"/>
        <v>13.049999999999997</v>
      </c>
      <c r="S8" s="30">
        <f t="shared" si="6"/>
        <v>54.842625000000005</v>
      </c>
      <c r="T8" s="30">
        <f t="shared" si="7"/>
        <v>-744.86750000000006</v>
      </c>
      <c r="U8" s="31">
        <f t="shared" si="8"/>
        <v>-7.362735654327783E-2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41</v>
      </c>
      <c r="R9" s="42">
        <f t="shared" si="5"/>
        <v>41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41</v>
      </c>
      <c r="R10" s="42">
        <f t="shared" si="5"/>
        <v>41</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14</v>
      </c>
      <c r="R11" s="42">
        <f t="shared" si="5"/>
        <v>41</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96.296296296296291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v>
      </c>
      <c r="R12" s="42">
        <f t="shared" si="5"/>
        <v>27</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107.69230769230769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-2</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0</v>
      </c>
      <c r="E42" s="56">
        <f>MAX(C42:D42)</f>
        <v>8.1029999999999998</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0.41</v>
      </c>
      <c r="D44" s="56">
        <f>E8/100</f>
        <v>0</v>
      </c>
      <c r="E44" s="56">
        <f>MAX(C44:D44,0)</f>
        <v>0.41</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0</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0</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0</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0</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8103</v>
      </c>
      <c r="D6" s="34"/>
      <c r="E6" s="33">
        <f>'Data Entry'!H6</f>
        <v>46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1.6043440700974949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46</v>
      </c>
      <c r="P7" s="42">
        <f t="shared" ref="P7:P15" si="4">C7</f>
        <v>13</v>
      </c>
      <c r="Q7" s="42">
        <f>C6-C7</f>
        <v>8090</v>
      </c>
      <c r="R7" s="42">
        <f t="shared" ref="R7:R15" si="5">SUM(N7:Q7)</f>
        <v>8149</v>
      </c>
      <c r="S7" s="30">
        <f t="shared" ref="S7:S15" si="6">R7*((((N7*Q7)-(O7*P7))^2))</f>
        <v>2914114996</v>
      </c>
      <c r="T7" s="30">
        <f t="shared" ref="T7:T15" si="7">(N7+O7)*(P7+Q7)*(N7+P7)*(O7+Q7)</f>
        <v>39423752784</v>
      </c>
      <c r="U7" s="31">
        <f t="shared" ref="U7:U15" si="8">IF((S7&gt;0),S7/T7,"- -")</f>
        <v>7.3917747302399986E-2</v>
      </c>
    </row>
    <row r="8" spans="2:21" ht="18" customHeight="1">
      <c r="B8" s="32" t="str">
        <f>'Data Entry'!A8</f>
        <v>3. Refer to Juvenile Court</v>
      </c>
      <c r="C8" s="33">
        <f>'Data Entry'!C8</f>
        <v>41</v>
      </c>
      <c r="D8" s="34">
        <f>IF((AND(C67&gt;0,C8&gt;0)),(C8/C67),0)</f>
        <v>315.38461538461536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41</v>
      </c>
      <c r="Q8" s="42">
        <f>(C$67*L67)-C8</f>
        <v>-28</v>
      </c>
      <c r="R8" s="42">
        <f t="shared" si="5"/>
        <v>13.049999999999997</v>
      </c>
      <c r="S8" s="30">
        <f t="shared" si="6"/>
        <v>54.842625000000005</v>
      </c>
      <c r="T8" s="30">
        <f t="shared" si="7"/>
        <v>-744.86750000000006</v>
      </c>
      <c r="U8" s="31">
        <f t="shared" si="8"/>
        <v>-7.362735654327783E-2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41</v>
      </c>
      <c r="R9" s="42">
        <f t="shared" si="5"/>
        <v>41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41</v>
      </c>
      <c r="R10" s="42">
        <f t="shared" si="5"/>
        <v>41</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65.853658536585371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14</v>
      </c>
      <c r="R11" s="42">
        <f t="shared" si="5"/>
        <v>41</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96.296296296296291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v>
      </c>
      <c r="R12" s="42">
        <f t="shared" si="5"/>
        <v>27</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107.69230769230769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-2</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8.1029999999999998</v>
      </c>
      <c r="D42" s="56">
        <f>E6/1000</f>
        <v>4.5999999999999999E-2</v>
      </c>
      <c r="E42" s="56">
        <f>MAX(C42:D42)</f>
        <v>8.1029999999999998</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0.41</v>
      </c>
      <c r="D44" s="56">
        <f>E8/100</f>
        <v>0</v>
      </c>
      <c r="E44" s="56">
        <f>MAX(C44:D44,0)</f>
        <v>0.41</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8.1029999999999998</v>
      </c>
      <c r="D48" s="56">
        <f>D42</f>
        <v>4.5999999999999999E-2</v>
      </c>
      <c r="E48" s="56">
        <f>MAX(C48:D48)</f>
        <v>8.1029999999999998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0.41</v>
      </c>
      <c r="D50" s="49">
        <f t="shared" si="9"/>
        <v>0</v>
      </c>
      <c r="E50" s="49">
        <f>MAX(C50:D50)</f>
        <v>0.41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8.1029999999999998</v>
      </c>
      <c r="D54" s="56">
        <f>D48</f>
        <v>4.5999999999999999E-2</v>
      </c>
      <c r="E54" s="56">
        <f>MAX(C54:D54)</f>
        <v>8.1029999999999998</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0.41</v>
      </c>
      <c r="D56" s="49">
        <f t="shared" si="10"/>
        <v>0</v>
      </c>
      <c r="E56" s="49">
        <f>MAX(C56:D56)</f>
        <v>0.41</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8.1029999999999998</v>
      </c>
      <c r="D60" s="56">
        <f>D54</f>
        <v>4.5999999999999999E-2</v>
      </c>
      <c r="E60" s="56">
        <f>MAX(C60:D60)</f>
        <v>8.1029999999999998</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0.41</v>
      </c>
      <c r="D62" s="49">
        <f t="shared" si="11"/>
        <v>0</v>
      </c>
      <c r="E62" s="49">
        <f>MAX(C62:D62)</f>
        <v>0.41</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8.1029999999999998</v>
      </c>
      <c r="D66" s="56">
        <f>D60</f>
        <v>4.5999999999999999E-2</v>
      </c>
      <c r="E66" s="56">
        <f>MAX(C66:D66)</f>
        <v>8.1029999999999998</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0.41</v>
      </c>
      <c r="D68" s="49">
        <f t="shared" si="12"/>
        <v>0</v>
      </c>
      <c r="E68" s="49">
        <f>MAX(C68:D68)</f>
        <v>0.41</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U47JMPN4QEAR-1806752177-35341</_dlc_DocId>
    <_dlc_DocIdUrl xmlns="ac3811b5-0f3e-49e2-ba69-f2ffa0c782af">
      <Url>https://michiganphi.sharepoint.com/sites/CMDMC/_layouts/15/DocIdRedir.aspx?ID=U47JMPN4QEAR-1806752177-35341</Url>
      <Description>U47JMPN4QEAR-1806752177-35341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945DA-6C1B-4508-81ED-A345399D25CE}">
  <ds:schemaRefs>
    <ds:schemaRef ds:uri="http://schemas.microsoft.com/sharepoint/v3/contenttype/forms"/>
  </ds:schemaRefs>
</ds:datastoreItem>
</file>

<file path=customXml/itemProps2.xml><?xml version="1.0" encoding="utf-8"?>
<ds:datastoreItem xmlns:ds="http://schemas.openxmlformats.org/officeDocument/2006/customXml" ds:itemID="{8F56D3FB-EAA2-4AC9-A8BD-6E527FC52997}"/>
</file>

<file path=customXml/itemProps3.xml><?xml version="1.0" encoding="utf-8"?>
<ds:datastoreItem xmlns:ds="http://schemas.openxmlformats.org/officeDocument/2006/customXml" ds:itemID="{C4FE1E20-0764-41B6-A6D8-57A93C461AD9}">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D6CD7DB2-3BAB-426B-AC78-529570CED0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af096ff1-741b-4b07-b765-59d40f92f715</vt:lpwstr>
  </property>
</Properties>
</file>