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codeName="ThisWorkbook"/>
  <mc:AlternateContent xmlns:mc="http://schemas.openxmlformats.org/markup-compatibility/2006">
    <mc:Choice Requires="x15">
      <x15ac:absPath xmlns:x15ac="http://schemas.microsoft.com/office/spreadsheetml/2010/11/ac" url="K:\204 DHS Crime Analysis\Crime Analysis Report\2021 DMC Data\County Matrices\"/>
    </mc:Choice>
  </mc:AlternateContent>
  <xr:revisionPtr revIDLastSave="0" documentId="13_ncr:1_{3417294F-0E6C-41BF-AE75-64035534D77D}" xr6:coauthVersionLast="47" xr6:coauthVersionMax="47" xr10:uidLastSave="{00000000-0000-0000-0000-000000000000}"/>
  <bookViews>
    <workbookView xWindow="-120" yWindow="-120" windowWidth="24240" windowHeight="1314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s="1"/>
  <c r="B66" i="2" s="1"/>
  <c r="J27" i="2"/>
  <c r="G42" i="2"/>
  <c r="G48" i="2"/>
  <c r="G54" i="2" s="1"/>
  <c r="G60" i="2" s="1"/>
  <c r="G66" i="2" s="1"/>
  <c r="G43" i="2"/>
  <c r="G44" i="2"/>
  <c r="G50" i="2"/>
  <c r="G56" i="2" s="1"/>
  <c r="G62" i="2" s="1"/>
  <c r="G68" i="2" s="1"/>
  <c r="G45" i="2"/>
  <c r="G51" i="2" s="1"/>
  <c r="G57" i="2" s="1"/>
  <c r="G63" i="2" s="1"/>
  <c r="G69" i="2" s="1"/>
  <c r="G46" i="2"/>
  <c r="G52" i="2" s="1"/>
  <c r="G58" i="2" s="1"/>
  <c r="G64" i="2" s="1"/>
  <c r="G70" i="2" s="1"/>
  <c r="L48" i="2"/>
  <c r="L54" i="2"/>
  <c r="L60" i="2" s="1"/>
  <c r="L66" i="2" s="1"/>
  <c r="G49" i="2"/>
  <c r="G55" i="2" s="1"/>
  <c r="G61" i="2" s="1"/>
  <c r="G67" i="2" s="1"/>
  <c r="F1" i="3"/>
  <c r="B2" i="3"/>
  <c r="B3" i="3"/>
  <c r="B6" i="3"/>
  <c r="B7" i="3"/>
  <c r="B8" i="3"/>
  <c r="B9" i="3"/>
  <c r="B10" i="3"/>
  <c r="B11" i="3"/>
  <c r="B12" i="3"/>
  <c r="B13" i="3"/>
  <c r="B14" i="3"/>
  <c r="B15" i="3"/>
  <c r="B48" i="3"/>
  <c r="B54" i="3"/>
  <c r="B60" i="3" s="1"/>
  <c r="B66" i="3" s="1"/>
  <c r="J27" i="3"/>
  <c r="G42" i="3"/>
  <c r="G43" i="3"/>
  <c r="G49" i="3"/>
  <c r="G55" i="3" s="1"/>
  <c r="G61" i="3" s="1"/>
  <c r="G67" i="3" s="1"/>
  <c r="G44" i="3"/>
  <c r="G50" i="3" s="1"/>
  <c r="G56" i="3" s="1"/>
  <c r="G62" i="3" s="1"/>
  <c r="G68" i="3" s="1"/>
  <c r="G45" i="3"/>
  <c r="G46" i="3"/>
  <c r="G52" i="3" s="1"/>
  <c r="G58" i="3" s="1"/>
  <c r="G64" i="3" s="1"/>
  <c r="G70" i="3" s="1"/>
  <c r="G48" i="3"/>
  <c r="G54" i="3"/>
  <c r="G60" i="3" s="1"/>
  <c r="G66" i="3" s="1"/>
  <c r="L48" i="3"/>
  <c r="G51" i="3"/>
  <c r="G57" i="3" s="1"/>
  <c r="G63" i="3" s="1"/>
  <c r="G69" i="3" s="1"/>
  <c r="L54" i="3"/>
  <c r="L60" i="3"/>
  <c r="L66" i="3" s="1"/>
  <c r="F1" i="4"/>
  <c r="B2" i="4"/>
  <c r="B3" i="4"/>
  <c r="B6" i="4"/>
  <c r="B7" i="4"/>
  <c r="B8" i="4"/>
  <c r="B9" i="4"/>
  <c r="E9" i="4"/>
  <c r="N9" i="4" s="1"/>
  <c r="B10" i="4"/>
  <c r="B11" i="4"/>
  <c r="B12" i="4"/>
  <c r="B13" i="4"/>
  <c r="B14" i="4"/>
  <c r="B15" i="4"/>
  <c r="B48" i="4"/>
  <c r="B54" i="4"/>
  <c r="B60" i="4" s="1"/>
  <c r="B66" i="4" s="1"/>
  <c r="J27" i="4"/>
  <c r="G42" i="4"/>
  <c r="G48" i="4" s="1"/>
  <c r="G54" i="4" s="1"/>
  <c r="G60" i="4" s="1"/>
  <c r="G66" i="4" s="1"/>
  <c r="G43" i="4"/>
  <c r="G49" i="4" s="1"/>
  <c r="G55" i="4" s="1"/>
  <c r="G61" i="4" s="1"/>
  <c r="G67" i="4" s="1"/>
  <c r="G44" i="4"/>
  <c r="G45" i="4"/>
  <c r="G51" i="4" s="1"/>
  <c r="G57" i="4" s="1"/>
  <c r="G63" i="4" s="1"/>
  <c r="G69" i="4" s="1"/>
  <c r="G46" i="4"/>
  <c r="L48" i="4"/>
  <c r="L54" i="4"/>
  <c r="L60" i="4" s="1"/>
  <c r="L66" i="4" s="1"/>
  <c r="G50" i="4"/>
  <c r="G52" i="4"/>
  <c r="G58" i="4" s="1"/>
  <c r="G64" i="4" s="1"/>
  <c r="G70" i="4" s="1"/>
  <c r="G56" i="4"/>
  <c r="G62" i="4" s="1"/>
  <c r="G68"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46" i="5"/>
  <c r="G52" i="5" s="1"/>
  <c r="G58" i="5" s="1"/>
  <c r="G64" i="5" s="1"/>
  <c r="G70" i="5" s="1"/>
  <c r="G48" i="5"/>
  <c r="G54" i="5"/>
  <c r="G60" i="5" s="1"/>
  <c r="G66" i="5" s="1"/>
  <c r="L48" i="5"/>
  <c r="G51" i="5"/>
  <c r="G57" i="5" s="1"/>
  <c r="G63" i="5" s="1"/>
  <c r="G69" i="5" s="1"/>
  <c r="L54" i="5"/>
  <c r="L60" i="5"/>
  <c r="L66" i="5" s="1"/>
  <c r="F1" i="6"/>
  <c r="B2" i="6"/>
  <c r="B3" i="6"/>
  <c r="B6" i="6"/>
  <c r="B7" i="6"/>
  <c r="B8" i="6"/>
  <c r="B9" i="6"/>
  <c r="B10" i="6"/>
  <c r="B11" i="6"/>
  <c r="B12" i="6"/>
  <c r="B13" i="6"/>
  <c r="B14" i="6"/>
  <c r="B15" i="6"/>
  <c r="B48" i="6"/>
  <c r="B54" i="6"/>
  <c r="B60" i="6" s="1"/>
  <c r="B66" i="6" s="1"/>
  <c r="J27" i="6"/>
  <c r="G42" i="6"/>
  <c r="G48" i="6" s="1"/>
  <c r="G54" i="6" s="1"/>
  <c r="G60" i="6" s="1"/>
  <c r="G66" i="6" s="1"/>
  <c r="G43" i="6"/>
  <c r="G49" i="6"/>
  <c r="G55" i="6" s="1"/>
  <c r="G61" i="6" s="1"/>
  <c r="G67" i="6" s="1"/>
  <c r="G44" i="6"/>
  <c r="G45" i="6"/>
  <c r="G51" i="6"/>
  <c r="G57" i="6" s="1"/>
  <c r="G63" i="6" s="1"/>
  <c r="G69" i="6" s="1"/>
  <c r="G46" i="6"/>
  <c r="G52" i="6"/>
  <c r="G58" i="6" s="1"/>
  <c r="G64" i="6" s="1"/>
  <c r="G70" i="6" s="1"/>
  <c r="L48" i="6"/>
  <c r="L54" i="6" s="1"/>
  <c r="L60" i="6" s="1"/>
  <c r="L66" i="6" s="1"/>
  <c r="G50" i="6"/>
  <c r="G56" i="6" s="1"/>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s="1"/>
  <c r="G63" i="7" s="1"/>
  <c r="G69" i="7" s="1"/>
  <c r="G46" i="7"/>
  <c r="L48" i="7"/>
  <c r="G50" i="7"/>
  <c r="G56" i="7" s="1"/>
  <c r="G62" i="7" s="1"/>
  <c r="G68" i="7" s="1"/>
  <c r="G52" i="7"/>
  <c r="G58" i="7" s="1"/>
  <c r="G64" i="7" s="1"/>
  <c r="G70" i="7" s="1"/>
  <c r="L54" i="7"/>
  <c r="L60" i="7" s="1"/>
  <c r="L66" i="7" s="1"/>
  <c r="F1" i="8"/>
  <c r="B2" i="8"/>
  <c r="B3" i="8"/>
  <c r="B6" i="8"/>
  <c r="B7" i="8"/>
  <c r="B8" i="8"/>
  <c r="B9" i="8"/>
  <c r="B10" i="8"/>
  <c r="B11" i="8"/>
  <c r="B12" i="8"/>
  <c r="B13" i="8"/>
  <c r="B14" i="8"/>
  <c r="B15" i="8"/>
  <c r="B48" i="8"/>
  <c r="B54" i="8"/>
  <c r="B60" i="8" s="1"/>
  <c r="B66" i="8" s="1"/>
  <c r="J27" i="8"/>
  <c r="G42" i="8"/>
  <c r="G43" i="8"/>
  <c r="G44" i="8"/>
  <c r="G50" i="8" s="1"/>
  <c r="G56" i="8" s="1"/>
  <c r="G62" i="8" s="1"/>
  <c r="G68" i="8" s="1"/>
  <c r="G45" i="8"/>
  <c r="G46" i="8"/>
  <c r="G52" i="8" s="1"/>
  <c r="G58" i="8" s="1"/>
  <c r="G64" i="8" s="1"/>
  <c r="G70" i="8" s="1"/>
  <c r="G48" i="8"/>
  <c r="G54" i="8" s="1"/>
  <c r="G60" i="8" s="1"/>
  <c r="G66" i="8" s="1"/>
  <c r="L48" i="8"/>
  <c r="G49" i="8"/>
  <c r="G55" i="8"/>
  <c r="G51" i="8"/>
  <c r="G57" i="8" s="1"/>
  <c r="G63" i="8" s="1"/>
  <c r="G69" i="8" s="1"/>
  <c r="L54" i="8"/>
  <c r="L60" i="8" s="1"/>
  <c r="L66" i="8" s="1"/>
  <c r="G61" i="8"/>
  <c r="G67"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5" l="1"/>
  <c r="M66" i="5"/>
  <c r="M66" i="7"/>
  <c r="F27" i="7"/>
  <c r="F27" i="4"/>
  <c r="M66" i="4"/>
  <c r="F27" i="6"/>
  <c r="M66" i="6"/>
  <c r="F27" i="2"/>
  <c r="M66" i="2"/>
  <c r="M66" i="3"/>
  <c r="F27" i="3"/>
  <c r="M66" i="8"/>
  <c r="F27" i="8"/>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N12" i="5"/>
  <c r="D16" i="13"/>
  <c r="C15" i="2"/>
  <c r="P15" i="2" s="1"/>
  <c r="C15" i="3"/>
  <c r="P15" i="3" s="1"/>
  <c r="C15" i="4"/>
  <c r="P15" i="4" s="1"/>
  <c r="C15" i="6"/>
  <c r="P15" i="6" s="1"/>
  <c r="C15" i="5"/>
  <c r="P15" i="5" s="1"/>
  <c r="C15" i="7"/>
  <c r="P15" i="7" s="1"/>
  <c r="C15" i="8"/>
  <c r="P15" i="8" s="1"/>
  <c r="D46" i="7" l="1"/>
  <c r="D43" i="6"/>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3" i="7" l="1"/>
  <c r="D46" i="8"/>
  <c r="H9" i="17"/>
  <c r="N8" i="7"/>
  <c r="D44" i="4"/>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4" i="4"/>
  <c r="D50" i="4" s="1"/>
  <c r="E46" i="8"/>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D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E45" i="2" l="1"/>
  <c r="C51" i="2" s="1"/>
  <c r="D52" i="8"/>
  <c r="C52" i="6"/>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5" s="1"/>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E52" i="6"/>
  <c r="L50" i="2"/>
  <c r="C50" i="2"/>
  <c r="D50" i="2"/>
  <c r="B50" i="2"/>
  <c r="E50" i="6"/>
  <c r="C54" i="7"/>
  <c r="E48" i="7"/>
  <c r="E49" i="6"/>
  <c r="E49" i="7"/>
  <c r="E48" i="5"/>
  <c r="C54" i="5"/>
  <c r="C54" i="6"/>
  <c r="E48" i="6"/>
  <c r="B51" i="6"/>
  <c r="D51" i="6"/>
  <c r="C51" i="6"/>
  <c r="L51" i="6"/>
  <c r="R7" i="8" l="1"/>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L58" i="8" l="1"/>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E58" i="8" l="1"/>
  <c r="D64" i="5"/>
  <c r="C64" i="5"/>
  <c r="E64" i="5" s="1"/>
  <c r="L64" i="3"/>
  <c r="L56" i="8"/>
  <c r="B56" i="8"/>
  <c r="C57" i="8"/>
  <c r="C64" i="8" s="1"/>
  <c r="B57" i="8"/>
  <c r="B64" i="8" s="1"/>
  <c r="B64" i="5"/>
  <c r="L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D64" i="8"/>
  <c r="L64" i="6"/>
  <c r="L64" i="8"/>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I7" i="9" l="1"/>
  <c r="Q8" i="13"/>
  <c r="E57" i="8"/>
  <c r="B63" i="8" s="1"/>
  <c r="C63" i="3"/>
  <c r="B63" i="3"/>
  <c r="E64" i="6"/>
  <c r="B70" i="6" s="1"/>
  <c r="M70" i="6" s="1"/>
  <c r="Z8" i="13"/>
  <c r="R7" i="9"/>
  <c r="D63" i="3"/>
  <c r="E64" i="3"/>
  <c r="B70" i="3" s="1"/>
  <c r="M70" i="3" s="1"/>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E64" i="8"/>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D63" i="8" l="1"/>
  <c r="D70" i="6"/>
  <c r="F13" i="6" s="1"/>
  <c r="C69" i="7"/>
  <c r="D12" i="7" s="1"/>
  <c r="L69" i="7"/>
  <c r="C63" i="8"/>
  <c r="L63" i="8"/>
  <c r="L70" i="8" s="1"/>
  <c r="E63" i="3"/>
  <c r="C69" i="3" s="1"/>
  <c r="D15" i="3" s="1"/>
  <c r="C70" i="6"/>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M70" i="4"/>
  <c r="B69" i="2"/>
  <c r="F35" i="2" s="1"/>
  <c r="B67" i="7"/>
  <c r="F28" i="7" s="1"/>
  <c r="M67" i="3"/>
  <c r="D67" i="7"/>
  <c r="O8" i="7" s="1"/>
  <c r="F11" i="4"/>
  <c r="F31" i="4"/>
  <c r="O9" i="4"/>
  <c r="M68" i="4"/>
  <c r="E70" i="4"/>
  <c r="D69" i="3"/>
  <c r="E69" i="3" s="1"/>
  <c r="F29" i="4"/>
  <c r="F13" i="5"/>
  <c r="F33" i="3"/>
  <c r="F13" i="4"/>
  <c r="F33" i="4"/>
  <c r="F10" i="4"/>
  <c r="O10" i="4"/>
  <c r="M67" i="5"/>
  <c r="O11" i="3"/>
  <c r="T11" i="3" s="1"/>
  <c r="O14" i="4"/>
  <c r="Q13" i="4"/>
  <c r="F30" i="3"/>
  <c r="Q9" i="3"/>
  <c r="O10" i="3"/>
  <c r="E68" i="3"/>
  <c r="O9" i="3"/>
  <c r="F31" i="3"/>
  <c r="F29" i="3"/>
  <c r="D14" i="4"/>
  <c r="L70" i="7"/>
  <c r="O14" i="7" s="1"/>
  <c r="M69" i="7"/>
  <c r="C70" i="8"/>
  <c r="B70" i="8"/>
  <c r="M70" i="8" s="1"/>
  <c r="E64" i="2"/>
  <c r="L70" i="2" s="1"/>
  <c r="L67" i="6"/>
  <c r="F10" i="3"/>
  <c r="F11" i="3"/>
  <c r="F34" i="3"/>
  <c r="D67" i="6"/>
  <c r="F8" i="6"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B69" i="6" l="1"/>
  <c r="M69" i="6" s="1"/>
  <c r="E63" i="8"/>
  <c r="D69" i="8" s="1"/>
  <c r="F12" i="8" s="1"/>
  <c r="D12" i="3"/>
  <c r="Q13" i="8"/>
  <c r="O14" i="6"/>
  <c r="F14" i="6"/>
  <c r="E70" i="6"/>
  <c r="D15" i="7"/>
  <c r="Q15" i="7"/>
  <c r="Q12" i="7"/>
  <c r="D13" i="6"/>
  <c r="D13" i="3"/>
  <c r="E69" i="7"/>
  <c r="O13" i="6"/>
  <c r="E70" i="3"/>
  <c r="L69" i="3"/>
  <c r="Q12" i="3" s="1"/>
  <c r="F14" i="3"/>
  <c r="O13" i="3"/>
  <c r="B69" i="3"/>
  <c r="M69" i="3" s="1"/>
  <c r="C69" i="6"/>
  <c r="D12" i="6" s="1"/>
  <c r="Q14" i="3"/>
  <c r="F12" i="7"/>
  <c r="O12" i="7"/>
  <c r="D14" i="6"/>
  <c r="O15" i="7"/>
  <c r="Q13" i="3"/>
  <c r="Q13" i="6"/>
  <c r="Q14" i="6"/>
  <c r="O14" i="3"/>
  <c r="D69" i="6"/>
  <c r="F12" i="6" s="1"/>
  <c r="T10" i="3"/>
  <c r="K10" i="4"/>
  <c r="F8" i="7"/>
  <c r="T9" i="4"/>
  <c r="F35" i="6"/>
  <c r="T11" i="4"/>
  <c r="K11" i="4"/>
  <c r="R10" i="4"/>
  <c r="S10" i="4" s="1"/>
  <c r="U10" i="4" s="1"/>
  <c r="J10" i="4" s="1"/>
  <c r="M10" i="4" s="1"/>
  <c r="G10" i="4" s="1"/>
  <c r="G11" i="16" s="1"/>
  <c r="T8" i="3"/>
  <c r="U8" i="3" s="1"/>
  <c r="J8" i="3" s="1"/>
  <c r="F12" i="3"/>
  <c r="T13" i="4"/>
  <c r="T8" i="5"/>
  <c r="U8" i="5" s="1"/>
  <c r="J8" i="5" s="1"/>
  <c r="K8" i="5"/>
  <c r="E67" i="7"/>
  <c r="M67" i="7"/>
  <c r="D8" i="7"/>
  <c r="T10" i="4"/>
  <c r="K8" i="3"/>
  <c r="Q8" i="7"/>
  <c r="R8" i="7" s="1"/>
  <c r="S8" i="7" s="1"/>
  <c r="M69" i="2"/>
  <c r="K14" i="4"/>
  <c r="K13" i="4"/>
  <c r="Q8" i="6"/>
  <c r="O8" i="6"/>
  <c r="E67" i="6"/>
  <c r="F15" i="3"/>
  <c r="R13" i="4"/>
  <c r="S13" i="4" s="1"/>
  <c r="U13" i="4" s="1"/>
  <c r="J13" i="4" s="1"/>
  <c r="K9" i="4"/>
  <c r="R9" i="4"/>
  <c r="S9" i="4" s="1"/>
  <c r="U9" i="4" s="1"/>
  <c r="J9" i="4" s="1"/>
  <c r="M9" i="4" s="1"/>
  <c r="G9" i="4" s="1"/>
  <c r="G10" i="16" s="1"/>
  <c r="F32" i="2"/>
  <c r="O13" i="8"/>
  <c r="R10" i="3"/>
  <c r="S10" i="3" s="1"/>
  <c r="U10" i="3" s="1"/>
  <c r="J10" i="3" s="1"/>
  <c r="M10" i="3" s="1"/>
  <c r="F8" i="2"/>
  <c r="O14" i="8"/>
  <c r="F14" i="8"/>
  <c r="T14" i="4"/>
  <c r="B70" i="2"/>
  <c r="F33" i="2" s="1"/>
  <c r="D69" i="5"/>
  <c r="O15" i="5" s="1"/>
  <c r="T13" i="5"/>
  <c r="F34" i="7"/>
  <c r="M70" i="7"/>
  <c r="O13" i="7"/>
  <c r="K11" i="3"/>
  <c r="R11" i="3"/>
  <c r="S11" i="3" s="1"/>
  <c r="U11" i="3" s="1"/>
  <c r="J11" i="3" s="1"/>
  <c r="M11" i="3" s="1"/>
  <c r="L68" i="7"/>
  <c r="Q9" i="7" s="1"/>
  <c r="C69" i="5"/>
  <c r="Q12" i="5" s="1"/>
  <c r="B69" i="5"/>
  <c r="F32" i="5" s="1"/>
  <c r="D68" i="7"/>
  <c r="E68" i="7" s="1"/>
  <c r="B68" i="7"/>
  <c r="F31" i="7" s="1"/>
  <c r="K9" i="3"/>
  <c r="K10" i="3"/>
  <c r="R14" i="4"/>
  <c r="S14" i="4" s="1"/>
  <c r="U14" i="4" s="1"/>
  <c r="J14" i="4" s="1"/>
  <c r="D13" i="7"/>
  <c r="R9" i="3"/>
  <c r="S9" i="3" s="1"/>
  <c r="Q14" i="8"/>
  <c r="T9" i="3"/>
  <c r="F34" i="8"/>
  <c r="R14" i="5"/>
  <c r="S14" i="5" s="1"/>
  <c r="U14" i="5" s="1"/>
  <c r="J14" i="5" s="1"/>
  <c r="M14" i="5" s="1"/>
  <c r="F33" i="8"/>
  <c r="C70" i="2"/>
  <c r="D14" i="2" s="1"/>
  <c r="T14" i="5"/>
  <c r="D13" i="8"/>
  <c r="K14" i="5"/>
  <c r="D70" i="2"/>
  <c r="O14" i="2" s="1"/>
  <c r="D14" i="8"/>
  <c r="E70" i="8"/>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F15" i="8" l="1"/>
  <c r="C69" i="8"/>
  <c r="D12" i="8" s="1"/>
  <c r="L69" i="8"/>
  <c r="O15" i="8" s="1"/>
  <c r="F32" i="6"/>
  <c r="B69" i="8"/>
  <c r="M69" i="8" s="1"/>
  <c r="T15" i="7"/>
  <c r="R13" i="8"/>
  <c r="S13" i="8" s="1"/>
  <c r="K13" i="3"/>
  <c r="T13" i="6"/>
  <c r="R14" i="3"/>
  <c r="S14" i="3" s="1"/>
  <c r="U14" i="3" s="1"/>
  <c r="J14" i="3" s="1"/>
  <c r="M14" i="3" s="1"/>
  <c r="G14" i="3" s="1"/>
  <c r="I15" i="16" s="1"/>
  <c r="R15" i="7"/>
  <c r="S15" i="7" s="1"/>
  <c r="U15" i="7" s="1"/>
  <c r="J15" i="7" s="1"/>
  <c r="M15" i="7" s="1"/>
  <c r="K14" i="6"/>
  <c r="K13" i="6"/>
  <c r="T12" i="7"/>
  <c r="R12" i="7"/>
  <c r="S12" i="7" s="1"/>
  <c r="T13" i="8"/>
  <c r="O15" i="3"/>
  <c r="K12" i="7"/>
  <c r="R13" i="6"/>
  <c r="S13" i="6" s="1"/>
  <c r="U13" i="6" s="1"/>
  <c r="J13" i="6" s="1"/>
  <c r="M13" i="6" s="1"/>
  <c r="G13" i="6" s="1"/>
  <c r="G13" i="9" s="1"/>
  <c r="G11" i="3"/>
  <c r="I12" i="16" s="1"/>
  <c r="F35" i="3"/>
  <c r="G10" i="3"/>
  <c r="I11" i="16" s="1"/>
  <c r="T14" i="6"/>
  <c r="R14" i="6"/>
  <c r="S14" i="6" s="1"/>
  <c r="U14" i="6" s="1"/>
  <c r="J14" i="6" s="1"/>
  <c r="M14" i="6" s="1"/>
  <c r="G14" i="6" s="1"/>
  <c r="M15" i="13" s="1"/>
  <c r="D15" i="6"/>
  <c r="O12" i="6"/>
  <c r="O12" i="3"/>
  <c r="R12" i="3" s="1"/>
  <c r="S12" i="3" s="1"/>
  <c r="U12" i="3" s="1"/>
  <c r="J12" i="3" s="1"/>
  <c r="Q15" i="3"/>
  <c r="F32" i="3"/>
  <c r="R14" i="8"/>
  <c r="S14" i="8" s="1"/>
  <c r="E69" i="6"/>
  <c r="T13" i="3"/>
  <c r="K14" i="3"/>
  <c r="T14" i="3"/>
  <c r="K15" i="7"/>
  <c r="L15" i="7" s="1"/>
  <c r="S16" i="16" s="1"/>
  <c r="R13" i="3"/>
  <c r="S13" i="3" s="1"/>
  <c r="U13" i="3" s="1"/>
  <c r="J13" i="3" s="1"/>
  <c r="M13" i="3" s="1"/>
  <c r="G13" i="3" s="1"/>
  <c r="O15" i="6"/>
  <c r="Q12" i="6"/>
  <c r="Q15" i="6"/>
  <c r="F15" i="6"/>
  <c r="L13" i="4"/>
  <c r="O14" i="16" s="1"/>
  <c r="L11" i="4"/>
  <c r="O12" i="16" s="1"/>
  <c r="K8" i="7"/>
  <c r="O13" i="2"/>
  <c r="O12" i="8"/>
  <c r="T8" i="7"/>
  <c r="U8" i="7" s="1"/>
  <c r="J8" i="7" s="1"/>
  <c r="M8" i="7" s="1"/>
  <c r="T13" i="7"/>
  <c r="Q10" i="7"/>
  <c r="F13" i="2"/>
  <c r="Q11" i="7"/>
  <c r="R8" i="6"/>
  <c r="S8" i="6" s="1"/>
  <c r="F14" i="2"/>
  <c r="E69" i="8"/>
  <c r="F10" i="7"/>
  <c r="L10" i="3"/>
  <c r="P11" i="16" s="1"/>
  <c r="F30" i="7"/>
  <c r="M68" i="7"/>
  <c r="Q15" i="8"/>
  <c r="R15" i="8" s="1"/>
  <c r="S15" i="8" s="1"/>
  <c r="F29" i="7"/>
  <c r="F15" i="5"/>
  <c r="D15" i="8"/>
  <c r="K14" i="8"/>
  <c r="T8" i="6"/>
  <c r="K8" i="6"/>
  <c r="O12" i="5"/>
  <c r="R12" i="5" s="1"/>
  <c r="S12" i="5" s="1"/>
  <c r="U12" i="5" s="1"/>
  <c r="J12" i="5" s="1"/>
  <c r="F35" i="5"/>
  <c r="F12" i="5"/>
  <c r="M69" i="5"/>
  <c r="K13" i="8"/>
  <c r="K8" i="2"/>
  <c r="M70" i="2"/>
  <c r="F9" i="7"/>
  <c r="O11" i="7"/>
  <c r="F34" i="2"/>
  <c r="O10" i="7"/>
  <c r="F11" i="7"/>
  <c r="O9" i="7"/>
  <c r="R9" i="7" s="1"/>
  <c r="S9" i="7" s="1"/>
  <c r="L11" i="3"/>
  <c r="P12" i="16" s="1"/>
  <c r="E69" i="5"/>
  <c r="D15" i="5"/>
  <c r="D12" i="5"/>
  <c r="Q15" i="5"/>
  <c r="K15" i="5" s="1"/>
  <c r="T14" i="8"/>
  <c r="D13" i="2"/>
  <c r="E70" i="2"/>
  <c r="Q14" i="2"/>
  <c r="K14" i="2" s="1"/>
  <c r="M13" i="4"/>
  <c r="G13" i="4" s="1"/>
  <c r="G14" i="16" s="1"/>
  <c r="L9" i="4"/>
  <c r="O10" i="16" s="1"/>
  <c r="R13" i="7"/>
  <c r="S13" i="7" s="1"/>
  <c r="U13" i="7" s="1"/>
  <c r="J13" i="7" s="1"/>
  <c r="M13" i="7" s="1"/>
  <c r="Q13" i="2"/>
  <c r="U9" i="3"/>
  <c r="J9" i="3" s="1"/>
  <c r="L9" i="3" s="1"/>
  <c r="N30" i="5"/>
  <c r="L14" i="5"/>
  <c r="Q15" i="16" s="1"/>
  <c r="L13" i="5"/>
  <c r="Q14" i="16" s="1"/>
  <c r="L10" i="4"/>
  <c r="O11" i="16" s="1"/>
  <c r="K13" i="7"/>
  <c r="T8" i="2"/>
  <c r="U8" i="2" s="1"/>
  <c r="J8" i="2" s="1"/>
  <c r="M11" i="4"/>
  <c r="G11" i="4" s="1"/>
  <c r="T14" i="7"/>
  <c r="U14" i="7" s="1"/>
  <c r="J14" i="7" s="1"/>
  <c r="K14" i="7"/>
  <c r="D10" i="9"/>
  <c r="G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U12" i="7" l="1"/>
  <c r="J12" i="7" s="1"/>
  <c r="M12" i="7" s="1"/>
  <c r="Q12" i="8"/>
  <c r="R12" i="8" s="1"/>
  <c r="S12" i="8" s="1"/>
  <c r="F35" i="8"/>
  <c r="F32" i="8"/>
  <c r="N30" i="3"/>
  <c r="E14" i="9"/>
  <c r="U13" i="8"/>
  <c r="J13" i="8" s="1"/>
  <c r="M13" i="8" s="1"/>
  <c r="G13" i="8" s="1"/>
  <c r="I15" i="13"/>
  <c r="L14" i="3"/>
  <c r="P15" i="16" s="1"/>
  <c r="E10" i="9"/>
  <c r="T15" i="3"/>
  <c r="T12" i="6"/>
  <c r="I11" i="13"/>
  <c r="T12" i="3"/>
  <c r="K15" i="3"/>
  <c r="I12" i="13"/>
  <c r="E11" i="9"/>
  <c r="L12" i="7"/>
  <c r="S13" i="16" s="1"/>
  <c r="R12" i="6"/>
  <c r="S12" i="6" s="1"/>
  <c r="U12" i="6" s="1"/>
  <c r="J12" i="6" s="1"/>
  <c r="M12" i="6" s="1"/>
  <c r="G12" i="6" s="1"/>
  <c r="M14" i="13"/>
  <c r="K12" i="3"/>
  <c r="L12" i="3" s="1"/>
  <c r="P13" i="16" s="1"/>
  <c r="K12" i="6"/>
  <c r="K15" i="6"/>
  <c r="L13" i="6"/>
  <c r="R14" i="16" s="1"/>
  <c r="R15" i="3"/>
  <c r="S15" i="3" s="1"/>
  <c r="U15" i="3" s="1"/>
  <c r="J15" i="3" s="1"/>
  <c r="M15" i="3" s="1"/>
  <c r="G15" i="3" s="1"/>
  <c r="I16" i="16" s="1"/>
  <c r="L13" i="3"/>
  <c r="P14" i="16" s="1"/>
  <c r="U14" i="8"/>
  <c r="J14" i="8" s="1"/>
  <c r="N30" i="8" s="1"/>
  <c r="R15" i="6"/>
  <c r="S15" i="6" s="1"/>
  <c r="U15" i="6" s="1"/>
  <c r="J15" i="6" s="1"/>
  <c r="M15" i="6" s="1"/>
  <c r="G15" i="6" s="1"/>
  <c r="T15" i="6"/>
  <c r="M13" i="9"/>
  <c r="U14" i="13"/>
  <c r="U12" i="13"/>
  <c r="M11" i="9"/>
  <c r="T13" i="2"/>
  <c r="U8" i="6"/>
  <c r="J8" i="6" s="1"/>
  <c r="M8" i="6" s="1"/>
  <c r="G8" i="6" s="1"/>
  <c r="M9" i="13" s="1"/>
  <c r="R13" i="2"/>
  <c r="S13" i="2" s="1"/>
  <c r="T15" i="8"/>
  <c r="V11" i="13"/>
  <c r="G14" i="9"/>
  <c r="T12" i="8"/>
  <c r="K12" i="8"/>
  <c r="R10" i="7"/>
  <c r="S10" i="7" s="1"/>
  <c r="T11" i="7"/>
  <c r="T10" i="7"/>
  <c r="L8" i="2"/>
  <c r="N9" i="16" s="1"/>
  <c r="K13" i="2"/>
  <c r="R15" i="5"/>
  <c r="S15" i="5" s="1"/>
  <c r="U15" i="5" s="1"/>
  <c r="J15" i="5" s="1"/>
  <c r="M15" i="5" s="1"/>
  <c r="K11" i="7"/>
  <c r="K15" i="8"/>
  <c r="T9" i="7"/>
  <c r="N10" i="9"/>
  <c r="N30" i="6"/>
  <c r="R11" i="7"/>
  <c r="S11" i="7" s="1"/>
  <c r="L14" i="6"/>
  <c r="R15" i="16" s="1"/>
  <c r="K12" i="5"/>
  <c r="L12" i="5" s="1"/>
  <c r="Q13" i="16" s="1"/>
  <c r="T12" i="5"/>
  <c r="K10" i="7"/>
  <c r="R14" i="2"/>
  <c r="S14" i="2" s="1"/>
  <c r="D13" i="9"/>
  <c r="G14" i="13"/>
  <c r="K9" i="7"/>
  <c r="T14" i="2"/>
  <c r="V12" i="13"/>
  <c r="U10" i="13"/>
  <c r="N11" i="9"/>
  <c r="T15" i="5"/>
  <c r="W14" i="13"/>
  <c r="L13" i="7"/>
  <c r="S14" i="16" s="1"/>
  <c r="M9" i="3"/>
  <c r="G9" i="3" s="1"/>
  <c r="I10" i="13" s="1"/>
  <c r="I14" i="13"/>
  <c r="I14" i="16"/>
  <c r="G12" i="13"/>
  <c r="G12" i="16"/>
  <c r="N9" i="9"/>
  <c r="P10" i="16"/>
  <c r="M14" i="7"/>
  <c r="N30" i="7"/>
  <c r="L14" i="7"/>
  <c r="S15" i="16" s="1"/>
  <c r="L8" i="7"/>
  <c r="S9" i="16" s="1"/>
  <c r="O13" i="9"/>
  <c r="M9" i="9"/>
  <c r="M10" i="9"/>
  <c r="O14" i="9"/>
  <c r="V10" i="13"/>
  <c r="W15" i="13"/>
  <c r="U12" i="2"/>
  <c r="J12" i="2" s="1"/>
  <c r="L12" i="2" s="1"/>
  <c r="N13" i="16" s="1"/>
  <c r="D11" i="9"/>
  <c r="E13" i="9"/>
  <c r="U11" i="13"/>
  <c r="M8" i="2"/>
  <c r="G8" i="2" s="1"/>
  <c r="E9" i="16" s="1"/>
  <c r="U15" i="2"/>
  <c r="J15" i="2" s="1"/>
  <c r="M15" i="2" s="1"/>
  <c r="G15" i="2" s="1"/>
  <c r="E16" i="16" s="1"/>
  <c r="U9" i="7"/>
  <c r="J9" i="7" s="1"/>
  <c r="M9" i="7" s="1"/>
  <c r="U12" i="4"/>
  <c r="J12" i="4" s="1"/>
  <c r="L12" i="4" s="1"/>
  <c r="O13" i="16" s="1"/>
  <c r="U11" i="6"/>
  <c r="J11" i="6" s="1"/>
  <c r="M11" i="6" s="1"/>
  <c r="G11" i="6" s="1"/>
  <c r="O9" i="9"/>
  <c r="W10" i="13"/>
  <c r="U10" i="2"/>
  <c r="J10" i="2" s="1"/>
  <c r="M10" i="2" s="1"/>
  <c r="G10" i="2" s="1"/>
  <c r="E11" i="16" s="1"/>
  <c r="O10" i="9"/>
  <c r="W11" i="13"/>
  <c r="D14" i="9"/>
  <c r="G15" i="13"/>
  <c r="N8" i="9"/>
  <c r="V9" i="13"/>
  <c r="Q15" i="9"/>
  <c r="Y16"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M12" i="3"/>
  <c r="G12" i="3" s="1"/>
  <c r="I13" i="16" s="1"/>
  <c r="K9" i="8"/>
  <c r="T9" i="8"/>
  <c r="L13" i="8" l="1"/>
  <c r="T14" i="16" s="1"/>
  <c r="U13" i="2"/>
  <c r="J13" i="2" s="1"/>
  <c r="M13" i="2" s="1"/>
  <c r="G13" i="2" s="1"/>
  <c r="E14" i="16" s="1"/>
  <c r="V15" i="13"/>
  <c r="N14" i="9"/>
  <c r="Z14" i="13"/>
  <c r="R13" i="9"/>
  <c r="Q12" i="9"/>
  <c r="L15" i="6"/>
  <c r="R16" i="16" s="1"/>
  <c r="U11" i="7"/>
  <c r="J11" i="7" s="1"/>
  <c r="L11" i="7" s="1"/>
  <c r="S12" i="16" s="1"/>
  <c r="U14" i="2"/>
  <c r="J14" i="2" s="1"/>
  <c r="M14" i="2" s="1"/>
  <c r="G14" i="2" s="1"/>
  <c r="E15" i="16" s="1"/>
  <c r="K14" i="16"/>
  <c r="Q14" i="13"/>
  <c r="I13" i="9"/>
  <c r="N13" i="9"/>
  <c r="Y13" i="13"/>
  <c r="P13" i="9"/>
  <c r="L14" i="8"/>
  <c r="T15" i="16" s="1"/>
  <c r="X14" i="13"/>
  <c r="U12" i="8"/>
  <c r="J12" i="8" s="1"/>
  <c r="M12" i="8" s="1"/>
  <c r="G12" i="8" s="1"/>
  <c r="K13" i="16" s="1"/>
  <c r="L12" i="6"/>
  <c r="R13" i="16" s="1"/>
  <c r="I16" i="13"/>
  <c r="L15" i="3"/>
  <c r="P16" i="16" s="1"/>
  <c r="E15" i="9"/>
  <c r="U10" i="7"/>
  <c r="J10" i="7" s="1"/>
  <c r="L10" i="7" s="1"/>
  <c r="S11" i="16" s="1"/>
  <c r="M14" i="8"/>
  <c r="G14" i="8" s="1"/>
  <c r="K15" i="16" s="1"/>
  <c r="V14" i="13"/>
  <c r="L8" i="6"/>
  <c r="R9" i="16" s="1"/>
  <c r="L15" i="5"/>
  <c r="Q16" i="16" s="1"/>
  <c r="T9" i="13"/>
  <c r="L8" i="9"/>
  <c r="X15" i="13"/>
  <c r="P14" i="9"/>
  <c r="G8" i="9"/>
  <c r="Q14" i="9"/>
  <c r="Y15" i="13"/>
  <c r="Y14" i="13"/>
  <c r="E9" i="13"/>
  <c r="Q13" i="9"/>
  <c r="L10" i="2"/>
  <c r="N11" i="16" s="1"/>
  <c r="L11" i="6"/>
  <c r="R12" i="16" s="1"/>
  <c r="I10" i="16"/>
  <c r="C8" i="9"/>
  <c r="E9" i="9"/>
  <c r="G12" i="9"/>
  <c r="M13" i="13"/>
  <c r="G11" i="9"/>
  <c r="M12" i="13"/>
  <c r="G15" i="9"/>
  <c r="M16" i="13"/>
  <c r="Y9" i="13"/>
  <c r="M12" i="2"/>
  <c r="G12" i="2" s="1"/>
  <c r="C12" i="9" s="1"/>
  <c r="Q8" i="9"/>
  <c r="L15" i="2"/>
  <c r="N16" i="16" s="1"/>
  <c r="L13" i="2"/>
  <c r="N14" i="16" s="1"/>
  <c r="L11" i="2"/>
  <c r="N12" i="16" s="1"/>
  <c r="M12" i="4"/>
  <c r="G12" i="4" s="1"/>
  <c r="M9" i="2"/>
  <c r="G9" i="2" s="1"/>
  <c r="L9" i="7"/>
  <c r="S10" i="16" s="1"/>
  <c r="C15" i="9"/>
  <c r="E16" i="13"/>
  <c r="L9" i="9"/>
  <c r="T10" i="13"/>
  <c r="C11" i="9"/>
  <c r="E12" i="13"/>
  <c r="M8" i="9"/>
  <c r="U9" i="13"/>
  <c r="O12" i="9"/>
  <c r="W13" i="13"/>
  <c r="M12" i="9"/>
  <c r="U13" i="13"/>
  <c r="E12" i="9"/>
  <c r="I13" i="13"/>
  <c r="D8" i="9"/>
  <c r="G9" i="13"/>
  <c r="U9" i="8"/>
  <c r="J9" i="8" s="1"/>
  <c r="M9" i="8" s="1"/>
  <c r="G9" i="8" s="1"/>
  <c r="K10" i="16" s="1"/>
  <c r="C10" i="9"/>
  <c r="E11" i="13"/>
  <c r="N12" i="9"/>
  <c r="V13" i="13"/>
  <c r="L12" i="9"/>
  <c r="T13" i="13"/>
  <c r="L15" i="8"/>
  <c r="T16" i="16" s="1"/>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C13" i="9" l="1"/>
  <c r="X16" i="13"/>
  <c r="L14" i="2"/>
  <c r="N15" i="16" s="1"/>
  <c r="V16" i="13"/>
  <c r="R14" i="9"/>
  <c r="P15" i="9"/>
  <c r="M10" i="7"/>
  <c r="M11" i="7"/>
  <c r="C14" i="9"/>
  <c r="N30" i="2"/>
  <c r="P12" i="9"/>
  <c r="E15" i="13"/>
  <c r="E14" i="13"/>
  <c r="Z15" i="13"/>
  <c r="L12" i="8"/>
  <c r="T13" i="16" s="1"/>
  <c r="X13" i="13"/>
  <c r="N15" i="9"/>
  <c r="I14" i="9"/>
  <c r="Q15" i="13"/>
  <c r="P8" i="9"/>
  <c r="X9" i="13"/>
  <c r="Q10" i="9"/>
  <c r="Y11" i="13"/>
  <c r="O15" i="9"/>
  <c r="W16" i="13"/>
  <c r="L10" i="9"/>
  <c r="X12" i="13"/>
  <c r="L13" i="9"/>
  <c r="T11" i="13"/>
  <c r="L15" i="9"/>
  <c r="P11" i="9"/>
  <c r="T14" i="13"/>
  <c r="G10" i="9"/>
  <c r="M11" i="13"/>
  <c r="M10" i="13"/>
  <c r="G9" i="9"/>
  <c r="T16" i="13"/>
  <c r="C9" i="9"/>
  <c r="E10" i="16"/>
  <c r="D12" i="9"/>
  <c r="G13" i="16"/>
  <c r="E13" i="13"/>
  <c r="E13" i="16"/>
  <c r="L11" i="9"/>
  <c r="T12" i="13"/>
  <c r="Q9" i="9"/>
  <c r="G13" i="13"/>
  <c r="E10" i="13"/>
  <c r="L9" i="8"/>
  <c r="T10" i="16" s="1"/>
  <c r="Y10" i="13"/>
  <c r="M15" i="9"/>
  <c r="U16" i="13"/>
  <c r="I12" i="9"/>
  <c r="Q13" i="13"/>
  <c r="P9" i="9"/>
  <c r="X10" i="13"/>
  <c r="R8" i="9"/>
  <c r="Z9" i="13"/>
  <c r="I15" i="9"/>
  <c r="Q16" i="13"/>
  <c r="P10" i="9"/>
  <c r="X11" i="13"/>
  <c r="I8" i="9"/>
  <c r="Q9" i="13"/>
  <c r="R15" i="9"/>
  <c r="Z16" i="13"/>
  <c r="I9" i="9"/>
  <c r="Q10" i="13"/>
  <c r="Q11" i="9"/>
  <c r="Y12" i="13"/>
  <c r="D15" i="9"/>
  <c r="G16" i="13"/>
  <c r="M10" i="8"/>
  <c r="G10" i="8" s="1"/>
  <c r="K11" i="16" s="1"/>
  <c r="L10" i="8"/>
  <c r="T11" i="16" s="1"/>
  <c r="L11" i="8"/>
  <c r="T12" i="16" s="1"/>
  <c r="M11" i="8"/>
  <c r="G11" i="8" s="1"/>
  <c r="K12" i="16" s="1"/>
  <c r="T15" i="13" l="1"/>
  <c r="R12" i="9"/>
  <c r="L14" i="9"/>
  <c r="Z13" i="13"/>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<sst xmlns="http://schemas.openxmlformats.org/spreadsheetml/2006/main" count="654" uniqueCount="141">
  <si>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</si>
  <si>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</si>
  <si>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</si>
  <si>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</si>
  <si>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</si>
  <si>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</si>
  <si>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</si>
  <si>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</si>
  <si>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</si>
  <si>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</si>
  <si>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</si>
  <si>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</si>
  <si>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</si>
  <si>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</si>
  <si>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</si>
  <si>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</si>
  <si>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</si>
  <si>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</si>
  <si>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</si>
  <si>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</si>
  <si>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</si>
  <si>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</si>
  <si>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</si>
  <si>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</si>
  <si>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</si>
  <si>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</si>
  <si>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</si>
  <si>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</si>
  <si>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</si>
  <si>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</si>
  <si>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</si>
  <si>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</si>
  <si>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</si>
  <si>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</si>
  <si>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</si>
  <si>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</si>
  <si>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</si>
  <si>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</si>
  <si>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</si>
  <si>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</si>
  <si>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</si>
  <si>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</si>
  <si>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</si>
  <si>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</si>
  <si>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</si>
  <si>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</si>
  <si>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</si>
  <si>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</si>
  <si>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</si>
  <si>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</si>
  <si>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</si>
  <si>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</si>
  <si>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</si>
  <si>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</si>
  <si>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</si>
  <si>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</si>
  <si>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</si>
  <si>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</si>
  <si>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</si>
  <si>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</si>
  <si>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</si>
  <si>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</si>
  <si>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</si>
  <si>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</si>
  <si>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</si>
  <si>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</si>
  <si>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</si>
  <si>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</si>
  <si>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</si>
  <si>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</si>
  <si>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</si>
  <si>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</si>
  <si>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</si>
  <si>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</si>
  <si>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</si>
  <si>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</si>
  <si>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</si>
  <si>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</si>
  <si>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</si>
  <si>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</si>
  <si>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</si>
  <si>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</si>
  <si>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</si>
  <si>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</si>
  <si>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</si>
  <si>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</si>
  <si>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</si>
  <si>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</si>
  <si>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</si>
  <si>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</si>
  <si>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</si>
  <si>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</si>
  <si>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</si>
  <si>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</si>
  <si>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</si>
  <si>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</si>
  <si>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</si>
  <si>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</si>
  <si>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</si>
  <si>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</si>
  <si>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</si>
  <si>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</si>
  <si>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</si>
  <si>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</si>
  <si>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</si>
  <si>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</si>
  <si>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</si>
  <si>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</si>
  <si>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</si>
  <si>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</si>
  <si>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</si>
  <si>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</si>
  <si>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</si>
  <si>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</si>
  <si>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</si>
  <si>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</si>
  <si>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</si>
  <si>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</si>
  <si>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</si>
  <si>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</si>
  <si>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</si>
  <si>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</si>
  <si>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</si>
  <si>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</si>
  <si>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</si>
  <si>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</si>
  <si>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</si>
  <si>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</si>
  <si>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</si>
  <si>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</si>
  <si>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</si>
  <si>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</si>
  <si>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</si>
  <si>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</si>
  <si>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</si>
  <si>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</si>
  <si>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 xml:space="preserve">1. Population at Risk (age 10 through 16) </t>
  </si>
  <si>
    <t>County: Eaton</t>
  </si>
  <si>
    <t>Item 1. Population: U.S. Census estimate (from C. Puzzanchera, A. Sladky, and W. Kang, "Easy Access to Juvenile Populations: 1990-2020," Online, accessed October 13, 2021 from http://www.ojjdp.gov/ojstatbb/ezapop/)</t>
  </si>
  <si>
    <t>Item 2. Arrest: Michigan State Police</t>
  </si>
  <si>
    <t>10/1/20 through 9/30/21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</si>
</sst>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x14ac:knownFonts="1">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2" fillId="2" borderId="0" xfId="0" applyNumberFormat="1" applyFont="1" applyFill="1" applyAlignment="1">
      <alignment vertical="top" wrapText="1"/>
    </xf>
    <xf numFmtId="4" fontId="4" fillId="0" borderId="0" xfId="0" applyNumberFormat="1" applyFont="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1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Eaton 2021</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N=14</c:v>
                </c:pt>
                <c:pt idx="2">
                  <c:v>Delinquent Findings, total N=50</c:v>
                </c:pt>
                <c:pt idx="3">
                  <c:v>Petitions, total N=58</c:v>
                </c:pt>
                <c:pt idx="4">
                  <c:v>Detentions, total N=5</c:v>
                </c:pt>
                <c:pt idx="5">
                  <c:v>Referrals, total N=104</c:v>
                </c:pt>
                <c:pt idx="6">
                  <c:v>Arrests, total N=13</c:v>
                </c:pt>
                <c:pt idx="7">
                  <c:v>Population, total N=8919</c:v>
                </c:pt>
              </c:strCache>
            </c:strRef>
          </c:cat>
          <c:val>
            <c:numRef>
              <c:f>'Stacked 100%'!$B$7:$B$14</c:f>
              <c:numCache>
                <c:formatCode>0%</c:formatCode>
                <c:ptCount val="8"/>
                <c:pt idx="0">
                  <c:v>0</c:v>
                </c:pt>
                <c:pt idx="1">
                  <c:v>0.5</c:v>
                </c:pt>
                <c:pt idx="2">
                  <c:v>0.28000000000000003</c:v>
                </c:pt>
                <c:pt idx="3">
                  <c:v>0.29310344827586204</c:v>
                </c:pt>
                <c:pt idx="4">
                  <c:v>0.6</c:v>
                </c:pt>
                <c:pt idx="5">
                  <c:v>0.28846153846153844</c:v>
                </c:pt>
                <c:pt idx="6">
                  <c:v>7.6923076923076927E-2</c:v>
                </c:pt>
                <c:pt idx="7">
                  <c:v>0.1004596927906716</c:v>
                </c:pt>
              </c:numCache>
            </c:numRef>
          </c:val>
          <c:extLst>
            <c:ext xmlns:c16="http://schemas.microsoft.com/office/drawing/2014/chart" uri="{C3380CC4-5D6E-409C-BE32-E72D297353CC}">
              <c16:uniqueId val="{00000000-5E48-4D27-9CE5-A0639C83A601}"/>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N=14</c:v>
                </c:pt>
                <c:pt idx="2">
                  <c:v>Delinquent Findings, total N=50</c:v>
                </c:pt>
                <c:pt idx="3">
                  <c:v>Petitions, total N=58</c:v>
                </c:pt>
                <c:pt idx="4">
                  <c:v>Detentions, total N=5</c:v>
                </c:pt>
                <c:pt idx="5">
                  <c:v>Referrals, total N=104</c:v>
                </c:pt>
                <c:pt idx="6">
                  <c:v>Arrests, total N=13</c:v>
                </c:pt>
                <c:pt idx="7">
                  <c:v>Population, total N=8919</c:v>
                </c:pt>
              </c:strCache>
            </c:strRef>
          </c:cat>
          <c:val>
            <c:numRef>
              <c:f>'Stacked 100%'!$C$7:$C$14</c:f>
              <c:numCache>
                <c:formatCode>0%</c:formatCode>
                <c:ptCount val="8"/>
                <c:pt idx="0">
                  <c:v>0</c:v>
                </c:pt>
                <c:pt idx="1">
                  <c:v>0</c:v>
                </c:pt>
                <c:pt idx="2">
                  <c:v>0</c:v>
                </c:pt>
                <c:pt idx="3">
                  <c:v>0</c:v>
                </c:pt>
                <c:pt idx="4">
                  <c:v>0</c:v>
                </c:pt>
                <c:pt idx="5">
                  <c:v>0</c:v>
                </c:pt>
                <c:pt idx="6">
                  <c:v>7.6923076923076927E-2</c:v>
                </c:pt>
                <c:pt idx="7">
                  <c:v>8.5211346563516088E-2</c:v>
                </c:pt>
              </c:numCache>
            </c:numRef>
          </c:val>
          <c:extLst>
            <c:ext xmlns:c16="http://schemas.microsoft.com/office/drawing/2014/chart" uri="{C3380CC4-5D6E-409C-BE32-E72D297353CC}">
              <c16:uniqueId val="{00000001-5E48-4D27-9CE5-A0639C83A601}"/>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N=14</c:v>
                </c:pt>
                <c:pt idx="2">
                  <c:v>Delinquent Findings, total N=50</c:v>
                </c:pt>
                <c:pt idx="3">
                  <c:v>Petitions, total N=58</c:v>
                </c:pt>
                <c:pt idx="4">
                  <c:v>Detentions, total N=5</c:v>
                </c:pt>
                <c:pt idx="5">
                  <c:v>Referrals, total N=104</c:v>
                </c:pt>
                <c:pt idx="6">
                  <c:v>Arrests, total N=13</c:v>
                </c:pt>
                <c:pt idx="7">
                  <c:v>Population, total N=8919</c:v>
                </c:pt>
              </c:strCache>
            </c:strRef>
          </c:cat>
          <c:val>
            <c:numRef>
              <c:f>'Stacked 100%'!$H$7:$H$14</c:f>
              <c:numCache>
                <c:formatCode>0%</c:formatCode>
                <c:ptCount val="8"/>
                <c:pt idx="0">
                  <c:v>0</c:v>
                </c:pt>
                <c:pt idx="1">
                  <c:v>1.5306122448979591E-2</c:v>
                </c:pt>
                <c:pt idx="2">
                  <c:v>8.0000000000000004E-4</c:v>
                </c:pt>
                <c:pt idx="3">
                  <c:v>5.9453032104637331E-4</c:v>
                </c:pt>
                <c:pt idx="4">
                  <c:v>0</c:v>
                </c:pt>
                <c:pt idx="5">
                  <c:v>4.6227810650887577E-4</c:v>
                </c:pt>
                <c:pt idx="6">
                  <c:v>0</c:v>
                </c:pt>
                <c:pt idx="7">
                  <c:v>3.2935856627249361E-6</c:v>
                </c:pt>
              </c:numCache>
            </c:numRef>
          </c:val>
          <c:extLst>
            <c:ext xmlns:c16="http://schemas.microsoft.com/office/drawing/2014/chart" uri="{C3380CC4-5D6E-409C-BE32-E72D297353CC}">
              <c16:uniqueId val="{00000002-5E48-4D27-9CE5-A0639C83A601}"/>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N=14</c:v>
                </c:pt>
                <c:pt idx="2">
                  <c:v>Delinquent Findings, total N=50</c:v>
                </c:pt>
                <c:pt idx="3">
                  <c:v>Petitions, total N=58</c:v>
                </c:pt>
                <c:pt idx="4">
                  <c:v>Detentions, total N=5</c:v>
                </c:pt>
                <c:pt idx="5">
                  <c:v>Referrals, total N=104</c:v>
                </c:pt>
                <c:pt idx="6">
                  <c:v>Arrests, total N=13</c:v>
                </c:pt>
                <c:pt idx="7">
                  <c:v>Population, total N=8919</c:v>
                </c:pt>
              </c:strCache>
            </c:strRef>
          </c:cat>
          <c:val>
            <c:numRef>
              <c:f>'Stacked 100%'!$I$7:$I$14</c:f>
              <c:numCache>
                <c:formatCode>0%</c:formatCode>
                <c:ptCount val="8"/>
                <c:pt idx="0">
                  <c:v>0</c:v>
                </c:pt>
                <c:pt idx="1">
                  <c:v>0.21428571428571427</c:v>
                </c:pt>
                <c:pt idx="2">
                  <c:v>0.56000000000000005</c:v>
                </c:pt>
                <c:pt idx="3">
                  <c:v>0.56896551724137934</c:v>
                </c:pt>
                <c:pt idx="4">
                  <c:v>0.2</c:v>
                </c:pt>
                <c:pt idx="5">
                  <c:v>0.50961538461538458</c:v>
                </c:pt>
                <c:pt idx="6">
                  <c:v>0.84615384615384615</c:v>
                </c:pt>
                <c:pt idx="7">
                  <c:v>0.78495347011996863</c:v>
                </c:pt>
              </c:numCache>
            </c:numRef>
          </c:val>
          <c:extLst>
            <c:ext xmlns:c16="http://schemas.microsoft.com/office/drawing/2014/chart" uri="{C3380CC4-5D6E-409C-BE32-E72D297353CC}">
              <c16:uniqueId val="{00000003-5E48-4D27-9CE5-A0639C83A601}"/>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N=14</c:v>
                </c:pt>
                <c:pt idx="2">
                  <c:v>Delinquent Findings, total N=50</c:v>
                </c:pt>
                <c:pt idx="3">
                  <c:v>Petitions, total N=58</c:v>
                </c:pt>
                <c:pt idx="4">
                  <c:v>Detentions, total N=5</c:v>
                </c:pt>
                <c:pt idx="5">
                  <c:v>Referrals, total N=104</c:v>
                </c:pt>
                <c:pt idx="6">
                  <c:v>Arrests, total N=13</c:v>
                </c:pt>
                <c:pt idx="7">
                  <c:v>Population, total N=8919</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5E48-4D27-9CE5-A0639C83A601}"/>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topLeftCell="A2" zoomScale="115" zoomScaleNormal="115" workbookViewId="0">
      <selection activeCell="I15" sqref="I15"/>
    </sheetView>
  </sheetViews>
  <sheetFormatPr defaultColWidth="10.28515625" defaultRowHeight="12.75" customHeight="1" x14ac:dyDescent="0.25"/>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x14ac:dyDescent="0.25">
      <c r="A1" s="2" t="s">
        <v>0</v>
      </c>
      <c r="B1" s="170" t="s">
        <v>1</v>
      </c>
      <c r="C1" s="170"/>
      <c r="D1" s="170"/>
      <c r="E1" s="170"/>
      <c r="F1" s="170"/>
      <c r="G1" s="170"/>
      <c r="H1" s="170"/>
    </row>
    <row r="2" spans="1:11" ht="15" customHeight="1" x14ac:dyDescent="0.25">
      <c r="A2" s="3" t="s">
        <v>122</v>
      </c>
      <c r="B2" s="4"/>
      <c r="C2" s="4"/>
      <c r="D2" s="4"/>
      <c r="E2" s="4"/>
      <c r="F2" s="4"/>
    </row>
    <row r="3" spans="1:11" ht="15" customHeight="1" x14ac:dyDescent="0.25">
      <c r="A3" s="136" t="s">
        <v>137</v>
      </c>
      <c r="B3" s="4"/>
      <c r="C3" s="5" t="s">
        <v>107</v>
      </c>
      <c r="D3" s="6"/>
      <c r="E3" s="6"/>
      <c r="F3" s="6"/>
      <c r="G3" s="7"/>
      <c r="H3" s="7"/>
    </row>
    <row r="4" spans="1:11" ht="15" customHeight="1" x14ac:dyDescent="0.25">
      <c r="A4" s="4"/>
      <c r="B4" s="4"/>
      <c r="C4" s="171" t="s">
        <v>140</v>
      </c>
      <c r="D4" s="171"/>
      <c r="E4" s="171"/>
      <c r="F4" s="171"/>
      <c r="G4" s="8"/>
    </row>
    <row r="5" spans="1:11" ht="65.25" customHeight="1" thickBot="1" x14ac:dyDescent="0.3">
      <c r="A5" s="8"/>
      <c r="B5" s="9" t="s">
        <v>2</v>
      </c>
      <c r="C5" s="9" t="s">
        <v>3</v>
      </c>
      <c r="D5" s="9" t="s">
        <v>132</v>
      </c>
      <c r="E5" s="9" t="s">
        <v>4</v>
      </c>
      <c r="F5" s="9" t="s">
        <v>5</v>
      </c>
      <c r="G5" s="9" t="s">
        <v>135</v>
      </c>
      <c r="H5" s="9" t="s">
        <v>6</v>
      </c>
      <c r="I5" s="9" t="s">
        <v>124</v>
      </c>
      <c r="J5" s="9" t="s">
        <v>7</v>
      </c>
      <c r="K5" s="9" t="s">
        <v>116</v>
      </c>
    </row>
    <row r="6" spans="1:11" ht="15.75" customHeight="1" thickBot="1" x14ac:dyDescent="0.25">
      <c r="A6" s="10" t="s">
        <v>136</v>
      </c>
      <c r="B6" s="11">
        <f>SUM(C6:I6)+K6</f>
        <v>8919</v>
      </c>
      <c r="C6" s="11">
        <v>7001</v>
      </c>
      <c r="D6" s="11">
        <v>896</v>
      </c>
      <c r="E6" s="11">
        <v>760</v>
      </c>
      <c r="F6" s="11">
        <v>221</v>
      </c>
      <c r="G6" s="11"/>
      <c r="H6" s="11">
        <v>41</v>
      </c>
      <c r="I6" s="11"/>
      <c r="J6" s="91">
        <f>SUM(D6:I6)</f>
        <v>1918</v>
      </c>
      <c r="K6" s="92"/>
    </row>
    <row r="7" spans="1:11" ht="15.75" customHeight="1" thickBot="1" x14ac:dyDescent="0.25">
      <c r="A7" s="10" t="s">
        <v>8</v>
      </c>
      <c r="B7" s="11">
        <f t="shared" ref="B7:B15" si="0">SUM(C7:I7)+K7</f>
        <v>13</v>
      </c>
      <c r="C7" s="11">
        <v>11</v>
      </c>
      <c r="D7" s="11">
        <v>1</v>
      </c>
      <c r="E7" s="11">
        <v>1</v>
      </c>
      <c r="F7" s="11"/>
      <c r="G7" s="11"/>
      <c r="H7" s="11"/>
      <c r="I7" s="11"/>
      <c r="J7" s="91">
        <f t="shared" ref="J7:J15" si="1">SUM(D7:I7)</f>
        <v>2</v>
      </c>
      <c r="K7" s="92"/>
    </row>
    <row r="8" spans="1:11" ht="15.75" customHeight="1" thickBot="1" x14ac:dyDescent="0.25">
      <c r="A8" s="10" t="s">
        <v>9</v>
      </c>
      <c r="B8" s="11">
        <f t="shared" si="0"/>
        <v>104</v>
      </c>
      <c r="C8" s="11">
        <v>53</v>
      </c>
      <c r="D8" s="11">
        <v>30</v>
      </c>
      <c r="E8" s="11"/>
      <c r="F8" s="11"/>
      <c r="G8" s="11"/>
      <c r="H8" s="11"/>
      <c r="I8" s="11">
        <v>5</v>
      </c>
      <c r="J8" s="91">
        <f t="shared" si="1"/>
        <v>35</v>
      </c>
      <c r="K8" s="92">
        <v>16</v>
      </c>
    </row>
    <row r="9" spans="1:11" ht="15.75" customHeight="1" thickBot="1" x14ac:dyDescent="0.25">
      <c r="A9" s="10" t="s">
        <v>10</v>
      </c>
      <c r="B9" s="11">
        <f t="shared" si="0"/>
        <v>0</v>
      </c>
      <c r="C9" s="11"/>
      <c r="D9" s="11"/>
      <c r="E9" s="11"/>
      <c r="F9" s="11"/>
      <c r="G9" s="11"/>
      <c r="H9" s="11"/>
      <c r="I9" s="11"/>
      <c r="J9" s="91">
        <f t="shared" si="1"/>
        <v>0</v>
      </c>
      <c r="K9" s="92"/>
    </row>
    <row r="10" spans="1:11" ht="15.75" customHeight="1" thickBot="1" x14ac:dyDescent="0.25">
      <c r="A10" s="10" t="s">
        <v>11</v>
      </c>
      <c r="B10" s="11">
        <f t="shared" si="0"/>
        <v>5</v>
      </c>
      <c r="C10" s="11">
        <v>1</v>
      </c>
      <c r="D10" s="11">
        <v>3</v>
      </c>
      <c r="E10" s="11"/>
      <c r="F10" s="11"/>
      <c r="G10" s="11"/>
      <c r="H10" s="11"/>
      <c r="I10" s="11"/>
      <c r="J10" s="91">
        <f t="shared" si="1"/>
        <v>3</v>
      </c>
      <c r="K10" s="92">
        <v>1</v>
      </c>
    </row>
    <row r="11" spans="1:11" ht="15.75" customHeight="1" thickBot="1" x14ac:dyDescent="0.25">
      <c r="A11" s="10" t="s">
        <v>12</v>
      </c>
      <c r="B11" s="11">
        <f t="shared" si="0"/>
        <v>58</v>
      </c>
      <c r="C11" s="11">
        <v>33</v>
      </c>
      <c r="D11" s="11">
        <v>17</v>
      </c>
      <c r="E11" s="11"/>
      <c r="F11" s="11"/>
      <c r="G11" s="11"/>
      <c r="H11" s="11"/>
      <c r="I11" s="11">
        <v>2</v>
      </c>
      <c r="J11" s="91">
        <f t="shared" si="1"/>
        <v>19</v>
      </c>
      <c r="K11" s="92">
        <v>6</v>
      </c>
    </row>
    <row r="12" spans="1:11" ht="15.75" customHeight="1" thickBot="1" x14ac:dyDescent="0.25">
      <c r="A12" s="10" t="s">
        <v>13</v>
      </c>
      <c r="B12" s="11">
        <f t="shared" si="0"/>
        <v>50</v>
      </c>
      <c r="C12" s="11">
        <v>28</v>
      </c>
      <c r="D12" s="11">
        <v>14</v>
      </c>
      <c r="E12" s="11"/>
      <c r="F12" s="11"/>
      <c r="G12" s="11"/>
      <c r="H12" s="11"/>
      <c r="I12" s="11">
        <v>2</v>
      </c>
      <c r="J12" s="91">
        <f t="shared" si="1"/>
        <v>16</v>
      </c>
      <c r="K12" s="92">
        <v>6</v>
      </c>
    </row>
    <row r="13" spans="1:11" ht="15.75" customHeight="1" thickBot="1" x14ac:dyDescent="0.25">
      <c r="A13" s="10" t="s">
        <v>133</v>
      </c>
      <c r="B13" s="11">
        <f t="shared" si="0"/>
        <v>40</v>
      </c>
      <c r="C13" s="11">
        <v>27</v>
      </c>
      <c r="D13" s="11">
        <v>7</v>
      </c>
      <c r="E13" s="11"/>
      <c r="F13" s="11"/>
      <c r="G13" s="11"/>
      <c r="H13" s="11"/>
      <c r="I13" s="11">
        <v>4</v>
      </c>
      <c r="J13" s="91">
        <f t="shared" si="1"/>
        <v>11</v>
      </c>
      <c r="K13" s="92">
        <v>2</v>
      </c>
    </row>
    <row r="14" spans="1:11" ht="26.25" customHeight="1" thickBot="1" x14ac:dyDescent="0.25">
      <c r="A14" s="10" t="s">
        <v>123</v>
      </c>
      <c r="B14" s="11">
        <f t="shared" si="0"/>
        <v>14</v>
      </c>
      <c r="C14" s="11">
        <v>3</v>
      </c>
      <c r="D14" s="11">
        <v>7</v>
      </c>
      <c r="E14" s="11"/>
      <c r="F14" s="11"/>
      <c r="G14" s="11"/>
      <c r="H14" s="11"/>
      <c r="I14" s="11">
        <v>3</v>
      </c>
      <c r="J14" s="91">
        <f t="shared" si="1"/>
        <v>10</v>
      </c>
      <c r="K14" s="92">
        <v>1</v>
      </c>
    </row>
    <row r="15" spans="1:11" ht="15.75" customHeight="1" thickBot="1" x14ac:dyDescent="0.25">
      <c r="A15" s="10" t="s">
        <v>16</v>
      </c>
      <c r="B15" s="11">
        <f t="shared" si="0"/>
        <v>0</v>
      </c>
      <c r="C15" s="11"/>
      <c r="D15" s="11"/>
      <c r="E15" s="11"/>
      <c r="F15" s="11"/>
      <c r="G15" s="11"/>
      <c r="H15" s="11"/>
      <c r="I15" s="11"/>
      <c r="J15" s="91">
        <f t="shared" si="1"/>
        <v>0</v>
      </c>
      <c r="K15" s="92"/>
    </row>
    <row r="16" spans="1:11" s="14" customFormat="1" ht="15" customHeight="1" x14ac:dyDescent="0.2">
      <c r="A16" s="12" t="s">
        <v>17</v>
      </c>
      <c r="B16" s="13" t="str">
        <f>IF((B6 &gt; ($B6/100)),"Yes","No")</f>
        <v>Yes</v>
      </c>
      <c r="C16" s="13" t="str">
        <f>IF((C6 &gt; ($B6/100)),"Yes","No")</f>
        <v>Yes</v>
      </c>
      <c r="D16" s="13" t="str">
        <f t="shared" ref="D16:J16" si="2">IF((D6 &gt; ($B6/100)),"Yes","No")</f>
        <v>Yes</v>
      </c>
      <c r="E16" s="13" t="str">
        <f t="shared" si="2"/>
        <v>Yes</v>
      </c>
      <c r="F16" s="13" t="str">
        <f t="shared" si="2"/>
        <v>Yes</v>
      </c>
      <c r="G16" s="13" t="str">
        <f t="shared" si="2"/>
        <v>No</v>
      </c>
      <c r="H16" s="13" t="str">
        <f t="shared" si="2"/>
        <v>No</v>
      </c>
      <c r="I16" s="13" t="str">
        <f t="shared" si="2"/>
        <v>No</v>
      </c>
      <c r="J16" s="13" t="str">
        <f t="shared" si="2"/>
        <v>Yes</v>
      </c>
    </row>
    <row r="17" spans="1:9" ht="15" customHeight="1" x14ac:dyDescent="0.25">
      <c r="A17" s="15"/>
    </row>
    <row r="18" spans="1:9" ht="15" customHeight="1" x14ac:dyDescent="0.25">
      <c r="A18" s="16" t="s">
        <v>18</v>
      </c>
      <c r="B18" s="16"/>
      <c r="C18" s="16"/>
      <c r="D18" s="16"/>
      <c r="E18" s="16"/>
      <c r="F18" s="16"/>
      <c r="G18" s="16"/>
    </row>
    <row r="19" spans="1:9" ht="15" customHeight="1" x14ac:dyDescent="0.25">
      <c r="A19" s="169" t="s">
        <v>138</v>
      </c>
      <c r="B19" s="169"/>
      <c r="C19" s="8"/>
      <c r="D19" s="169" t="s">
        <v>139</v>
      </c>
      <c r="E19" s="169"/>
      <c r="F19" s="169"/>
      <c r="G19" s="169"/>
      <c r="H19" s="169"/>
      <c r="I19" s="169"/>
    </row>
    <row r="20" spans="1:9" ht="15" customHeight="1" x14ac:dyDescent="0.25">
      <c r="A20" s="169" t="s">
        <v>108</v>
      </c>
      <c r="B20" s="169"/>
      <c r="C20" s="8"/>
      <c r="D20" s="169" t="s">
        <v>109</v>
      </c>
      <c r="E20" s="169"/>
      <c r="F20" s="169"/>
      <c r="G20" s="169"/>
      <c r="H20" s="169"/>
      <c r="I20" s="169"/>
    </row>
    <row r="21" spans="1:9" ht="15" customHeight="1" x14ac:dyDescent="0.25">
      <c r="A21" s="169" t="s">
        <v>110</v>
      </c>
      <c r="B21" s="169"/>
      <c r="C21" s="8"/>
      <c r="D21" s="169" t="s">
        <v>111</v>
      </c>
      <c r="E21" s="169"/>
      <c r="F21" s="169"/>
      <c r="G21" s="169"/>
      <c r="H21" s="169"/>
      <c r="I21" s="169"/>
    </row>
    <row r="22" spans="1:9" ht="15" customHeight="1" x14ac:dyDescent="0.25">
      <c r="A22" s="169" t="s">
        <v>112</v>
      </c>
      <c r="B22" s="169"/>
      <c r="C22" s="8"/>
      <c r="D22" s="169" t="s">
        <v>113</v>
      </c>
      <c r="E22" s="169"/>
      <c r="F22" s="169"/>
      <c r="G22" s="169"/>
      <c r="H22" s="169"/>
      <c r="I22" s="169"/>
    </row>
    <row r="23" spans="1:9" ht="15" customHeight="1" x14ac:dyDescent="0.25">
      <c r="A23" s="169" t="s">
        <v>114</v>
      </c>
      <c r="B23" s="169"/>
      <c r="C23" s="8"/>
      <c r="D23" s="169" t="s">
        <v>115</v>
      </c>
      <c r="E23" s="169"/>
      <c r="F23" s="169"/>
      <c r="G23" s="169"/>
      <c r="H23" s="169"/>
      <c r="I23" s="169"/>
    </row>
    <row r="24" spans="1:9" ht="15" customHeight="1" x14ac:dyDescent="0.25">
      <c r="A24" s="8"/>
      <c r="B24" s="8"/>
      <c r="C24" s="8"/>
      <c r="D24" s="8"/>
      <c r="E24" s="8"/>
      <c r="F24" s="8"/>
      <c r="G24" s="8"/>
      <c r="H24" s="8"/>
      <c r="I24" s="8"/>
    </row>
    <row r="25" spans="1:9" ht="21.75" customHeight="1" x14ac:dyDescent="0.25"/>
    <row r="27" spans="1:9" s="8" customFormat="1" ht="81.75" customHeight="1" x14ac:dyDescent="0.25"/>
    <row r="33" spans="1:3" ht="15.75" customHeight="1" x14ac:dyDescent="0.25">
      <c r="C33" s="17"/>
    </row>
    <row r="34" spans="1:3" ht="15.75" customHeight="1" x14ac:dyDescent="0.25">
      <c r="A34" s="1" t="s">
        <v>19</v>
      </c>
      <c r="B34" s="1" t="s">
        <v>28</v>
      </c>
      <c r="C34" s="17"/>
    </row>
    <row r="35" spans="1:3" ht="15" x14ac:dyDescent="0.25">
      <c r="A35" s="1" t="s">
        <v>20</v>
      </c>
      <c r="B35" s="1" t="s">
        <v>28</v>
      </c>
    </row>
    <row r="36" spans="1:3" ht="15" x14ac:dyDescent="0.25">
      <c r="A36" s="1" t="s">
        <v>21</v>
      </c>
      <c r="B36" s="1" t="s">
        <v>28</v>
      </c>
    </row>
    <row r="37" spans="1:3" ht="15" x14ac:dyDescent="0.25">
      <c r="A37" s="1" t="s">
        <v>22</v>
      </c>
    </row>
    <row r="38" spans="1:3" ht="15" x14ac:dyDescent="0.25">
      <c r="A38" s="1" t="s">
        <v>23</v>
      </c>
    </row>
    <row r="39" spans="1:3" ht="15" x14ac:dyDescent="0.25">
      <c r="A39" s="1" t="s">
        <v>24</v>
      </c>
    </row>
    <row r="40" spans="1:3" ht="15" x14ac:dyDescent="0.25">
      <c r="A40" s="1" t="s">
        <v>25</v>
      </c>
    </row>
    <row r="41" spans="1:3" ht="15" x14ac:dyDescent="0.25">
      <c r="A41" s="1" t="s">
        <v>26</v>
      </c>
    </row>
    <row r="42" spans="1:3" ht="15" x14ac:dyDescent="0.2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2" t="str">
        <f>'Data Entry'!I5</f>
        <v>Biracial or Other</v>
      </c>
      <c r="G1" s="212"/>
      <c r="H1" s="212"/>
      <c r="I1" s="212"/>
      <c r="J1" s="212"/>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Eaton</v>
      </c>
      <c r="C3" s="22"/>
      <c r="D3" s="22"/>
      <c r="E3" s="22"/>
      <c r="F3" s="22"/>
      <c r="G3" s="7"/>
      <c r="H3" s="7"/>
      <c r="I3" s="7"/>
      <c r="J3" s="7"/>
      <c r="K3" s="7"/>
      <c r="N3" s="211" t="s">
        <v>31</v>
      </c>
      <c r="O3" s="211"/>
      <c r="P3" s="211"/>
      <c r="Q3" s="211"/>
      <c r="R3" s="211"/>
      <c r="S3" s="211"/>
      <c r="T3" s="211"/>
      <c r="U3" s="211"/>
    </row>
    <row r="4" spans="2:21" ht="8.25" customHeight="1" x14ac:dyDescent="0.25">
      <c r="B4" s="4"/>
      <c r="C4" s="23"/>
      <c r="D4" s="23"/>
      <c r="E4" s="23"/>
      <c r="F4" s="23"/>
      <c r="G4" s="8"/>
      <c r="H4" s="8"/>
      <c r="I4" s="8"/>
      <c r="N4" s="211"/>
      <c r="O4" s="211"/>
      <c r="P4" s="211"/>
      <c r="Q4" s="211"/>
      <c r="R4" s="211"/>
      <c r="S4" s="211"/>
      <c r="T4" s="211"/>
      <c r="U4" s="211"/>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7001</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11</v>
      </c>
      <c r="D7" s="34">
        <f>IF((AND(C66&gt;0,C7&gt;0)),(C7/C66),0)</f>
        <v>1.571204113698043</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11</v>
      </c>
      <c r="Q7" s="42">
        <f>C6-C7</f>
        <v>6990</v>
      </c>
      <c r="R7" s="42">
        <f t="shared" ref="R7:R15" si="5">SUM(N7:Q7)</f>
        <v>7001</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53</v>
      </c>
      <c r="D8" s="34">
        <f>IF((AND(C67&gt;0,C8&gt;0)),(C8/C67),0)</f>
        <v>481.81818181818181</v>
      </c>
      <c r="E8" s="33">
        <f>'Data Entry'!I8</f>
        <v>5</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5</v>
      </c>
      <c r="O8" s="42">
        <f>((D67*L67)-E8)+0.05</f>
        <v>-4.95</v>
      </c>
      <c r="P8" s="42">
        <f t="shared" si="4"/>
        <v>53</v>
      </c>
      <c r="Q8" s="42">
        <f>(C$67*L67)-C8</f>
        <v>-42</v>
      </c>
      <c r="R8" s="42">
        <f t="shared" si="5"/>
        <v>11.049999999999997</v>
      </c>
      <c r="S8" s="30">
        <f t="shared" si="6"/>
        <v>30282.773625000016</v>
      </c>
      <c r="T8" s="30">
        <f t="shared" si="7"/>
        <v>-1497.7049999999947</v>
      </c>
      <c r="U8" s="31">
        <f t="shared" si="8"/>
        <v>-20.219451510811624</v>
      </c>
    </row>
    <row r="9" spans="2:21" ht="18" customHeight="1" x14ac:dyDescent="0.25">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5</v>
      </c>
      <c r="P9" s="42">
        <f t="shared" si="4"/>
        <v>0</v>
      </c>
      <c r="Q9" s="42">
        <f>(C$68*L68)-C9</f>
        <v>53</v>
      </c>
      <c r="R9" s="42">
        <f t="shared" si="5"/>
        <v>58</v>
      </c>
      <c r="S9" s="30">
        <f t="shared" si="6"/>
        <v>0</v>
      </c>
      <c r="T9" s="30">
        <f t="shared" si="7"/>
        <v>0</v>
      </c>
      <c r="U9" s="31" t="str">
        <f t="shared" si="8"/>
        <v>- -</v>
      </c>
    </row>
    <row r="10" spans="2:21" ht="18" customHeight="1" x14ac:dyDescent="0.25">
      <c r="B10" s="32" t="str">
        <f>'Data Entry'!A10</f>
        <v>5. Cases Involving Secure Detention</v>
      </c>
      <c r="C10" s="33">
        <f>'Data Entry'!C10</f>
        <v>1</v>
      </c>
      <c r="D10" s="34">
        <f>IF(((AND(C68&gt;0,C10&gt;0))),(C10/(C68)),0)</f>
        <v>1.8867924528301885</v>
      </c>
      <c r="E10" s="33">
        <f>'Data Entry'!I10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139</v>
      </c>
      <c r="M10" s="1" t="b">
        <f t="shared" si="2"/>
        <v>1</v>
      </c>
      <c r="N10" s="42">
        <f t="shared" si="3"/>
        <v>0</v>
      </c>
      <c r="O10" s="42">
        <f>(D$68*L68)-E10</f>
        <v>5</v>
      </c>
      <c r="P10" s="42">
        <f t="shared" si="4"/>
        <v>1</v>
      </c>
      <c r="Q10" s="42">
        <f>(C$68*L68)-C10</f>
        <v>52</v>
      </c>
      <c r="R10" s="42">
        <f t="shared" si="5"/>
        <v>58</v>
      </c>
      <c r="S10" s="30">
        <f t="shared" si="6"/>
        <v>1450</v>
      </c>
      <c r="T10" s="30">
        <f t="shared" si="7"/>
        <v>15105</v>
      </c>
      <c r="U10" s="31">
        <f t="shared" si="8"/>
        <v>9.5994703740483286E-2</v>
      </c>
    </row>
    <row r="11" spans="2:21" ht="18" customHeight="1" x14ac:dyDescent="0.25">
      <c r="B11" s="32" t="str">
        <f>'Data Entry'!A11</f>
        <v>6. Cases Petitioned (Charge Filed)</v>
      </c>
      <c r="C11" s="33">
        <f>'Data Entry'!C11</f>
        <v>33</v>
      </c>
      <c r="D11" s="34">
        <f>IF(((AND(C68&gt;0,C11&gt;0))),(C11/(C68)),0)</f>
        <v>62.264150943396224</v>
      </c>
      <c r="E11" s="33">
        <f>'Data Entry'!I11</f>
        <v>2</v>
      </c>
      <c r="F11" s="34">
        <f>IF(((AND($E$11&gt;0,$D$68&gt;0))),($E$11/($D$68)),0)</f>
        <v>40</v>
      </c>
      <c r="G11" s="39" t="str">
        <f t="shared" si="0"/>
        <v>*</v>
      </c>
      <c r="H11" s="40"/>
      <c r="I11" s="41"/>
      <c r="J11" s="40">
        <f>IF((ABS($U11)&gt;Defaults!D$7),1,2)</f>
        <v>2</v>
      </c>
      <c r="K11" s="39">
        <f>IF((AND(N11&gt;Defaults!B$12,(N11+O11)&gt;Defaults!B$13, P11 &gt; Defaults!B$12, (P11+Q11) &gt; Defaults!B$13)),1,20)</f>
        <v>20</v>
      </c>
      <c r="L11" s="1">
        <f t="shared" si="1"/>
        <v>139</v>
      </c>
      <c r="M11" s="1" t="b">
        <f t="shared" si="2"/>
        <v>1</v>
      </c>
      <c r="N11" s="42">
        <f t="shared" si="3"/>
        <v>2</v>
      </c>
      <c r="O11" s="42">
        <f>(D$68*L68)-E11</f>
        <v>3</v>
      </c>
      <c r="P11" s="42">
        <f t="shared" si="4"/>
        <v>33</v>
      </c>
      <c r="Q11" s="42">
        <f>(C$68*L68)-C11</f>
        <v>20</v>
      </c>
      <c r="R11" s="42">
        <f t="shared" si="5"/>
        <v>58</v>
      </c>
      <c r="S11" s="30">
        <f t="shared" si="6"/>
        <v>201898</v>
      </c>
      <c r="T11" s="30">
        <f t="shared" si="7"/>
        <v>213325</v>
      </c>
      <c r="U11" s="31">
        <f t="shared" si="8"/>
        <v>0.94643384507207318</v>
      </c>
    </row>
    <row r="12" spans="2:21" ht="18" customHeight="1" x14ac:dyDescent="0.25">
      <c r="B12" s="32" t="str">
        <f>'Data Entry'!A12</f>
        <v>7. Cases Resulting in Delinquent Findings</v>
      </c>
      <c r="C12" s="33">
        <f>'Data Entry'!C12</f>
        <v>28</v>
      </c>
      <c r="D12" s="34">
        <f>IF(((AND(C69&gt;0,C12&gt;0))),(C12/(C69)),0)</f>
        <v>84.848484848484844</v>
      </c>
      <c r="E12" s="33">
        <f>'Data Entry'!I12</f>
        <v>2</v>
      </c>
      <c r="F12" s="34">
        <f>IF(((AND($D$69&gt;0,$E$12&gt;0))),(E12/(D69)),0)</f>
        <v>100</v>
      </c>
      <c r="G12" s="39" t="str">
        <f t="shared" si="0"/>
        <v>*</v>
      </c>
      <c r="H12" s="40"/>
      <c r="I12" s="41"/>
      <c r="J12" s="40">
        <f>IF((ABS($U12)&gt;Defaults!D$7),1,2)</f>
        <v>2</v>
      </c>
      <c r="K12" s="39">
        <f>IF((AND(N12&gt;Defaults!B$12,(N12+O12)&gt;Defaults!B$13, P12 &gt; Defaults!B$12, (P12+Q12) &gt; Defaults!B$13)),1,20)</f>
        <v>20</v>
      </c>
      <c r="L12" s="1">
        <f t="shared" si="1"/>
        <v>139</v>
      </c>
      <c r="M12" s="1" t="b">
        <f t="shared" si="2"/>
        <v>1</v>
      </c>
      <c r="N12" s="42">
        <f t="shared" si="3"/>
        <v>2</v>
      </c>
      <c r="O12" s="42">
        <f>(D69*L69)-E12</f>
        <v>0</v>
      </c>
      <c r="P12" s="42">
        <f t="shared" si="4"/>
        <v>28</v>
      </c>
      <c r="Q12" s="42">
        <f>(C69*L69)-C12</f>
        <v>5</v>
      </c>
      <c r="R12" s="42">
        <f t="shared" si="5"/>
        <v>35</v>
      </c>
      <c r="S12" s="30">
        <f t="shared" si="6"/>
        <v>3500</v>
      </c>
      <c r="T12" s="30">
        <f t="shared" si="7"/>
        <v>9900</v>
      </c>
      <c r="U12" s="31">
        <f t="shared" si="8"/>
        <v>0.35353535353535354</v>
      </c>
    </row>
    <row r="13" spans="2:21" ht="18" customHeight="1" x14ac:dyDescent="0.25">
      <c r="B13" s="32" t="str">
        <f>'Data Entry'!A13</f>
        <v>8. Cases Resulting in Probation Placement</v>
      </c>
      <c r="C13" s="33">
        <f>'Data Entry'!C13</f>
        <v>27</v>
      </c>
      <c r="D13" s="34">
        <f>IF(((AND(C70&gt;0,C13&gt;0))),(C13/(C70)),0)</f>
        <v>96.428571428571416</v>
      </c>
      <c r="E13" s="33">
        <f>'Data Entry'!I13</f>
        <v>4</v>
      </c>
      <c r="F13" s="34">
        <f>IF(((AND($D$70&gt;0,$E$13&gt;0))),($E$13/($D$70)),0)</f>
        <v>200</v>
      </c>
      <c r="G13" s="39" t="str">
        <f t="shared" si="0"/>
        <v>*</v>
      </c>
      <c r="H13" s="40"/>
      <c r="I13" s="41"/>
      <c r="J13" s="40">
        <f>IF((ABS($U13)&gt;Defaults!D$7),1,2)</f>
        <v>1</v>
      </c>
      <c r="K13" s="39">
        <f>IF((AND(N13&gt;Defaults!B$12,(N13+O13)&gt;Defaults!B$13, P13 &gt; Defaults!B$12, (P13+Q13) &gt; Defaults!B$13)),1,20)</f>
        <v>20</v>
      </c>
      <c r="L13" s="1">
        <f t="shared" si="1"/>
        <v>119</v>
      </c>
      <c r="M13" s="1" t="b">
        <f t="shared" si="2"/>
        <v>1</v>
      </c>
      <c r="N13" s="42">
        <f t="shared" si="3"/>
        <v>4</v>
      </c>
      <c r="O13" s="42">
        <f>(D70*L70)-E13</f>
        <v>-2</v>
      </c>
      <c r="P13" s="42">
        <f t="shared" si="4"/>
        <v>27</v>
      </c>
      <c r="Q13" s="42">
        <f>(C70*L70)-C13</f>
        <v>1.0000000000000036</v>
      </c>
      <c r="R13" s="42">
        <f t="shared" si="5"/>
        <v>30.000000000000004</v>
      </c>
      <c r="S13" s="30">
        <f t="shared" si="6"/>
        <v>100920.00000000007</v>
      </c>
      <c r="T13" s="30">
        <f t="shared" si="7"/>
        <v>-1735.9999999999941</v>
      </c>
      <c r="U13" s="31">
        <f t="shared" si="8"/>
        <v>-58.133640552995629</v>
      </c>
    </row>
    <row r="14" spans="2:21" ht="30.75" customHeight="1" x14ac:dyDescent="0.25">
      <c r="B14" s="32" t="str">
        <f>'Data Entry'!A14</f>
        <v xml:space="preserve">9. Cases Resulting in Confinement in Secure Juvenile Correctional Facilities </v>
      </c>
      <c r="C14" s="33">
        <f>'Data Entry'!C14</f>
        <v>3</v>
      </c>
      <c r="D14" s="34">
        <f>IF(((AND(C70&gt;0,C14&gt;0))), ((C14/(C70))),0)</f>
        <v>10.714285714285714</v>
      </c>
      <c r="E14" s="33">
        <f>'Data Entry'!I14</f>
        <v>3</v>
      </c>
      <c r="F14" s="34">
        <f>IF(((AND($D$70&gt;0,$E$14&gt;0))), (($E$14/($D$70))),0)</f>
        <v>150</v>
      </c>
      <c r="G14" s="39" t="str">
        <f t="shared" si="0"/>
        <v>*</v>
      </c>
      <c r="H14" s="40"/>
      <c r="I14" s="41"/>
      <c r="J14" s="40">
        <f>IF((ABS($U14)&gt;Defaults!D$7),1,2)</f>
        <v>1</v>
      </c>
      <c r="K14" s="39">
        <f>IF((AND(N14&gt;Defaults!B$12,(N14+O14)&gt;Defaults!B$13, P14 &gt; Defaults!B$12, (P14+Q14) &gt; Defaults!B$13)),1,20)</f>
        <v>20</v>
      </c>
      <c r="L14" s="1">
        <f t="shared" si="1"/>
        <v>119</v>
      </c>
      <c r="M14" s="1" t="b">
        <f t="shared" si="2"/>
        <v>1</v>
      </c>
      <c r="N14" s="42">
        <f t="shared" si="3"/>
        <v>3</v>
      </c>
      <c r="O14" s="42">
        <f>(D70*L70)-E14</f>
        <v>-1</v>
      </c>
      <c r="P14" s="42">
        <f t="shared" si="4"/>
        <v>3</v>
      </c>
      <c r="Q14" s="42">
        <f>(C70*L70)-C14</f>
        <v>25.000000000000004</v>
      </c>
      <c r="R14" s="42">
        <f t="shared" si="5"/>
        <v>30.000000000000004</v>
      </c>
      <c r="S14" s="30">
        <f t="shared" si="6"/>
        <v>182520.00000000009</v>
      </c>
      <c r="T14" s="30">
        <f t="shared" si="7"/>
        <v>8064.0000000000027</v>
      </c>
      <c r="U14" s="31">
        <f t="shared" si="8"/>
        <v>22.633928571428573</v>
      </c>
    </row>
    <row r="15" spans="2:21" ht="15.75" customHeight="1" x14ac:dyDescent="0.25">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2</v>
      </c>
      <c r="P15" s="42">
        <f t="shared" si="4"/>
        <v>0</v>
      </c>
      <c r="Q15" s="42">
        <f>(C69*L69)-C15</f>
        <v>33</v>
      </c>
      <c r="R15" s="42">
        <f t="shared" si="5"/>
        <v>35</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1</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0" t="s">
        <v>79</v>
      </c>
      <c r="C40" s="210"/>
      <c r="D40" s="210"/>
      <c r="E40" s="210"/>
      <c r="F40" s="210"/>
      <c r="G40" s="210"/>
      <c r="H40" s="210"/>
      <c r="I40" s="210"/>
      <c r="J40" s="210"/>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7.0010000000000003</v>
      </c>
      <c r="D42" s="56">
        <f>E6/1000</f>
        <v>0</v>
      </c>
      <c r="E42" s="56">
        <f>MAX(C42:D42)</f>
        <v>7.0010000000000003</v>
      </c>
      <c r="G42" s="1" t="str">
        <f>B42</f>
        <v>per 1000 youth</v>
      </c>
      <c r="L42" s="57">
        <v>1000</v>
      </c>
      <c r="M42" s="57"/>
      <c r="R42" s="49"/>
    </row>
    <row r="43" spans="2:18" ht="15" hidden="1" customHeight="1" x14ac:dyDescent="0.25">
      <c r="B43" s="49" t="s">
        <v>87</v>
      </c>
      <c r="C43" s="56">
        <f>C7/100</f>
        <v>0.11</v>
      </c>
      <c r="D43" s="56">
        <f>E7/100</f>
        <v>0</v>
      </c>
      <c r="E43" s="56">
        <f>MAX(C43:D43,0)</f>
        <v>0.11</v>
      </c>
      <c r="G43" s="1" t="str">
        <f>B43</f>
        <v>per 100 arrests</v>
      </c>
      <c r="L43" s="57">
        <v>100</v>
      </c>
      <c r="M43" s="57"/>
      <c r="R43" s="49"/>
    </row>
    <row r="44" spans="2:18" ht="15" hidden="1" customHeight="1" x14ac:dyDescent="0.25">
      <c r="B44" s="49" t="s">
        <v>88</v>
      </c>
      <c r="C44" s="56">
        <f>C8/100</f>
        <v>0.53</v>
      </c>
      <c r="D44" s="56">
        <f>E8/100</f>
        <v>0.05</v>
      </c>
      <c r="E44" s="56">
        <f>MAX(C44:D44,0)</f>
        <v>0.53</v>
      </c>
      <c r="G44" s="1" t="str">
        <f>B44</f>
        <v>per 100 referrals</v>
      </c>
      <c r="L44" s="57">
        <v>100</v>
      </c>
      <c r="M44" s="57"/>
      <c r="R44" s="49"/>
    </row>
    <row r="45" spans="2:18" ht="15" hidden="1" customHeight="1" x14ac:dyDescent="0.25">
      <c r="B45" s="49" t="s">
        <v>89</v>
      </c>
      <c r="C45" s="49">
        <f>C11/100</f>
        <v>0.33</v>
      </c>
      <c r="D45" s="49">
        <f>E11/100</f>
        <v>0.02</v>
      </c>
      <c r="E45" s="56">
        <f>MAX(C45:D45,0)</f>
        <v>0.33</v>
      </c>
      <c r="G45" s="1" t="str">
        <f>B45</f>
        <v>per 100 youth petitioned</v>
      </c>
      <c r="L45" s="57">
        <v>100</v>
      </c>
      <c r="M45" s="57"/>
      <c r="R45" s="49"/>
    </row>
    <row r="46" spans="2:18" ht="15" hidden="1" customHeight="1" x14ac:dyDescent="0.25">
      <c r="B46" s="49" t="s">
        <v>90</v>
      </c>
      <c r="C46" s="49">
        <f>C12/100</f>
        <v>0.28000000000000003</v>
      </c>
      <c r="D46" s="49">
        <f>E12/100</f>
        <v>0.02</v>
      </c>
      <c r="E46" s="56">
        <f>MAX(C46:D46)</f>
        <v>0.28000000000000003</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7.0010000000000003</v>
      </c>
      <c r="D48" s="56">
        <f>D42</f>
        <v>0</v>
      </c>
      <c r="E48" s="56">
        <f>MAX(C48:D48)</f>
        <v>7.0010000000000003</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0.11</v>
      </c>
      <c r="D49" s="49">
        <f t="shared" si="9"/>
        <v>0</v>
      </c>
      <c r="E49" s="49">
        <f>MAX(C49:D49)</f>
        <v>0.11</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0.53</v>
      </c>
      <c r="D50" s="49">
        <f t="shared" si="9"/>
        <v>0.05</v>
      </c>
      <c r="E50" s="49">
        <f>MAX(C50:D50)</f>
        <v>0.53</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0.33</v>
      </c>
      <c r="D51" s="49">
        <f>IF(($E45&gt;0),D45,D44)</f>
        <v>0.02</v>
      </c>
      <c r="E51" s="49">
        <f>MAX(C51:D51)</f>
        <v>0.33</v>
      </c>
      <c r="G51" s="1" t="str">
        <f>G45</f>
        <v>per 100 youth petitioned</v>
      </c>
      <c r="L51" s="58">
        <f>IF(($E45&gt;0),L45,L44)</f>
        <v>100</v>
      </c>
      <c r="M51" s="58"/>
    </row>
    <row r="52" spans="2:18" ht="15" hidden="1" customHeight="1" x14ac:dyDescent="0.25">
      <c r="B52" s="49" t="str">
        <f>IF(($E46&gt;0),B46,B45)</f>
        <v>per 100 youth found delinquent</v>
      </c>
      <c r="C52" s="49">
        <f>IF(($E46&gt;0),C46,C45)</f>
        <v>0.28000000000000003</v>
      </c>
      <c r="D52" s="49">
        <f>IF(($E46&gt;0),D46,D45)</f>
        <v>0.02</v>
      </c>
      <c r="E52" s="56">
        <f>MAX(C52:D52)</f>
        <v>0.28000000000000003</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7.0010000000000003</v>
      </c>
      <c r="D54" s="56">
        <f>D48</f>
        <v>0</v>
      </c>
      <c r="E54" s="56">
        <f>MAX(C54:D54)</f>
        <v>7.0010000000000003</v>
      </c>
      <c r="G54" s="1" t="str">
        <f>G48</f>
        <v>per 1000 youth</v>
      </c>
      <c r="L54" s="58">
        <f>L48</f>
        <v>1000</v>
      </c>
      <c r="M54" s="58"/>
    </row>
    <row r="55" spans="2:18" ht="15" hidden="1" customHeight="1" x14ac:dyDescent="0.25">
      <c r="B55" s="49" t="str">
        <f t="shared" ref="B55:D56" si="10">IF(($E49&gt;0),B49,B48)</f>
        <v>per 100 arrests</v>
      </c>
      <c r="C55" s="49">
        <f t="shared" si="10"/>
        <v>0.11</v>
      </c>
      <c r="D55" s="49">
        <f t="shared" si="10"/>
        <v>0</v>
      </c>
      <c r="E55" s="49">
        <f>MAX(C55:D55)</f>
        <v>0.11</v>
      </c>
      <c r="G55" s="1" t="str">
        <f>G49</f>
        <v>per 100 arrests</v>
      </c>
      <c r="L55" s="58">
        <f>IF(($E49&gt;0),L49,L48)</f>
        <v>100</v>
      </c>
      <c r="M55" s="58"/>
    </row>
    <row r="56" spans="2:18" ht="15" hidden="1" customHeight="1" x14ac:dyDescent="0.25">
      <c r="B56" s="49" t="str">
        <f t="shared" si="10"/>
        <v>per 100 referrals</v>
      </c>
      <c r="C56" s="49">
        <f t="shared" si="10"/>
        <v>0.53</v>
      </c>
      <c r="D56" s="49">
        <f t="shared" si="10"/>
        <v>0.05</v>
      </c>
      <c r="E56" s="49">
        <f>MAX(C56:D56)</f>
        <v>0.53</v>
      </c>
      <c r="G56" s="1" t="str">
        <f>G50</f>
        <v>per 100 referrals</v>
      </c>
      <c r="L56" s="58">
        <f>IF(($E50&gt;0),L50,L49)</f>
        <v>100</v>
      </c>
      <c r="M56" s="58"/>
    </row>
    <row r="57" spans="2:18" ht="15" hidden="1" customHeight="1" x14ac:dyDescent="0.25">
      <c r="B57" s="49" t="str">
        <f>IF(($E51&gt;0),B51,B49)</f>
        <v>per 100 youth petitioned</v>
      </c>
      <c r="C57" s="49">
        <f>IF(($E51&gt;0),C51,C50)</f>
        <v>0.33</v>
      </c>
      <c r="D57" s="49">
        <f>IF(($E51&gt;0),D51,D50)</f>
        <v>0.02</v>
      </c>
      <c r="E57" s="49">
        <f>MAX(C57:D57)</f>
        <v>0.33</v>
      </c>
      <c r="G57" s="1" t="str">
        <f>G51</f>
        <v>per 100 youth petitioned</v>
      </c>
      <c r="L57" s="58">
        <f>IF(($E51&gt;0),L51,L50)</f>
        <v>100</v>
      </c>
      <c r="M57" s="58"/>
    </row>
    <row r="58" spans="2:18" ht="15" hidden="1" customHeight="1" x14ac:dyDescent="0.25">
      <c r="B58" s="49" t="str">
        <f>IF(($E52&gt;0),B52,B51)</f>
        <v>per 100 youth found delinquent</v>
      </c>
      <c r="C58" s="49">
        <f>IF(($E52&gt;0),C52,C51)</f>
        <v>0.28000000000000003</v>
      </c>
      <c r="D58" s="49">
        <f>IF(($E52&gt;0),D52,D51)</f>
        <v>0.02</v>
      </c>
      <c r="E58" s="56">
        <f>MAX(C58:D58)</f>
        <v>0.28000000000000003</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7.0010000000000003</v>
      </c>
      <c r="D60" s="56">
        <f>D54</f>
        <v>0</v>
      </c>
      <c r="E60" s="56">
        <f>MAX(C60:D60)</f>
        <v>7.0010000000000003</v>
      </c>
      <c r="G60" s="1" t="str">
        <f>G54</f>
        <v>per 1000 youth</v>
      </c>
      <c r="L60" s="58">
        <f>L54</f>
        <v>1000</v>
      </c>
      <c r="M60" s="58"/>
    </row>
    <row r="61" spans="2:18" ht="15" hidden="1" customHeight="1" x14ac:dyDescent="0.25">
      <c r="B61" s="49" t="str">
        <f t="shared" ref="B61:D62" si="11">IF(($E55&gt;0),B55,B54)</f>
        <v>per 100 arrests</v>
      </c>
      <c r="C61" s="49">
        <f t="shared" si="11"/>
        <v>0.11</v>
      </c>
      <c r="D61" s="49">
        <f t="shared" si="11"/>
        <v>0</v>
      </c>
      <c r="E61" s="49">
        <f>MAX(C61:D61)</f>
        <v>0.11</v>
      </c>
      <c r="G61" s="1" t="str">
        <f>G55</f>
        <v>per 100 arrests</v>
      </c>
      <c r="L61" s="58">
        <f>IF(($E55&gt;0),L55,L54)</f>
        <v>100</v>
      </c>
      <c r="M61" s="58"/>
    </row>
    <row r="62" spans="2:18" ht="15" hidden="1" customHeight="1" x14ac:dyDescent="0.25">
      <c r="B62" s="49" t="str">
        <f t="shared" si="11"/>
        <v>per 100 referrals</v>
      </c>
      <c r="C62" s="49">
        <f t="shared" si="11"/>
        <v>0.53</v>
      </c>
      <c r="D62" s="49">
        <f t="shared" si="11"/>
        <v>0.05</v>
      </c>
      <c r="E62" s="49">
        <f>MAX(C62:D62)</f>
        <v>0.53</v>
      </c>
      <c r="G62" s="1" t="str">
        <f>G56</f>
        <v>per 100 referrals</v>
      </c>
      <c r="L62" s="58">
        <f>IF(($E56&gt;0),L56,L55)</f>
        <v>100</v>
      </c>
      <c r="M62" s="58"/>
    </row>
    <row r="63" spans="2:18" ht="15" hidden="1" customHeight="1" x14ac:dyDescent="0.25">
      <c r="B63" s="49" t="str">
        <f>IF(($E57&gt;0),B57,B55)</f>
        <v>per 100 youth petitioned</v>
      </c>
      <c r="C63" s="49">
        <f>IF(($E57&gt;0),C57,C56)</f>
        <v>0.33</v>
      </c>
      <c r="D63" s="49">
        <f>IF(($E57&gt;0),D57,D56)</f>
        <v>0.02</v>
      </c>
      <c r="E63" s="49">
        <f>MAX(C63:D63)</f>
        <v>0.33</v>
      </c>
      <c r="G63" s="1" t="str">
        <f>G57</f>
        <v>per 100 youth petitioned</v>
      </c>
      <c r="L63" s="58">
        <f>IF(($E57&gt;0),L57,L56)</f>
        <v>100</v>
      </c>
      <c r="M63" s="58"/>
    </row>
    <row r="64" spans="2:18" ht="15" hidden="1" customHeight="1" x14ac:dyDescent="0.25">
      <c r="B64" s="49" t="str">
        <f>IF(($E58&gt;0),B58,B57)</f>
        <v>per 100 youth found delinquent</v>
      </c>
      <c r="C64" s="49">
        <f>IF(($E58&gt;0),C58,C57)</f>
        <v>0.28000000000000003</v>
      </c>
      <c r="D64" s="49">
        <f>IF(($E58&gt;0),D58,D57)</f>
        <v>0.02</v>
      </c>
      <c r="E64" s="56">
        <f>MAX(C64:D64)</f>
        <v>0.28000000000000003</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7.0010000000000003</v>
      </c>
      <c r="D66" s="56">
        <f>D60</f>
        <v>0</v>
      </c>
      <c r="E66" s="56">
        <f>MAX(C66:D66)</f>
        <v>7.0010000000000003</v>
      </c>
      <c r="G66" s="1" t="str">
        <f>G60</f>
        <v>per 1000 youth</v>
      </c>
      <c r="L66" s="58">
        <f>L60</f>
        <v>1000</v>
      </c>
      <c r="M66" s="58">
        <f>IF((B66=G66),1,2)</f>
        <v>1</v>
      </c>
    </row>
    <row r="67" spans="2:13" ht="15" hidden="1" customHeight="1" x14ac:dyDescent="0.25">
      <c r="B67" s="49" t="str">
        <f t="shared" ref="B67:D68" si="12">IF(($E61&gt;0),B61,B60)</f>
        <v>per 100 arrests</v>
      </c>
      <c r="C67" s="49">
        <f t="shared" si="12"/>
        <v>0.11</v>
      </c>
      <c r="D67" s="49">
        <f t="shared" si="12"/>
        <v>0</v>
      </c>
      <c r="E67" s="49">
        <f>MAX(C67:D67)</f>
        <v>0.11</v>
      </c>
      <c r="G67" s="1" t="str">
        <f>G61</f>
        <v>per 100 arrests</v>
      </c>
      <c r="L67" s="58">
        <f>IF(($E61&gt;0),L61,L60)</f>
        <v>100</v>
      </c>
      <c r="M67" s="58">
        <f>IF((B67=G67),1,2)</f>
        <v>1</v>
      </c>
    </row>
    <row r="68" spans="2:13" ht="15" hidden="1" customHeight="1" x14ac:dyDescent="0.25">
      <c r="B68" s="49" t="str">
        <f t="shared" si="12"/>
        <v>per 100 referrals</v>
      </c>
      <c r="C68" s="49">
        <f t="shared" si="12"/>
        <v>0.53</v>
      </c>
      <c r="D68" s="49">
        <f t="shared" si="12"/>
        <v>0.05</v>
      </c>
      <c r="E68" s="49">
        <f>MAX(C68:D68)</f>
        <v>0.53</v>
      </c>
      <c r="G68" s="1" t="str">
        <f>G62</f>
        <v>per 100 referrals</v>
      </c>
      <c r="L68" s="58">
        <f>IF(($E62&gt;0),L62,L61)</f>
        <v>100</v>
      </c>
      <c r="M68" s="58">
        <f>IF((B68=G68),1,2)</f>
        <v>1</v>
      </c>
    </row>
    <row r="69" spans="2:13" ht="15" hidden="1" customHeight="1" x14ac:dyDescent="0.25">
      <c r="B69" s="49" t="str">
        <f>IF(($E63&gt;0),B63,B61)</f>
        <v>per 100 youth petitioned</v>
      </c>
      <c r="C69" s="49">
        <f>IF(($E63&gt;0),C63,C62)</f>
        <v>0.33</v>
      </c>
      <c r="D69" s="49">
        <f>IF(($E63&gt;0),D63,D62)</f>
        <v>0.02</v>
      </c>
      <c r="E69" s="49">
        <f>MAX(C69:D69)</f>
        <v>0.33</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0.28000000000000003</v>
      </c>
      <c r="D70" s="49">
        <f>IF(($E64&gt;0),D64,D63)</f>
        <v>0.02</v>
      </c>
      <c r="E70" s="56">
        <f>MAX(C70:D70)</f>
        <v>0.28000000000000003</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29" priority="1" stopIfTrue="1">
      <formula>M67=2</formula>
    </cfRule>
  </conditionalFormatting>
  <conditionalFormatting sqref="G7:G15">
    <cfRule type="expression" dxfId="28" priority="2" stopIfTrue="1">
      <formula>$L7=1</formula>
    </cfRule>
    <cfRule type="expression" dxfId="27" priority="3" stopIfTrue="1">
      <formula>$L7=2</formula>
    </cfRule>
    <cfRule type="expression" dxfId="26" priority="4" stopIfTrue="1">
      <formula>$L7&gt;3</formula>
    </cfRule>
  </conditionalFormatting>
  <conditionalFormatting sqref="F27">
    <cfRule type="expression" dxfId="25" priority="5" stopIfTrue="1">
      <formula>M66=2</formula>
    </cfRule>
  </conditionalFormatting>
  <conditionalFormatting sqref="F29">
    <cfRule type="expression" dxfId="24" priority="6" stopIfTrue="1">
      <formula>M68 = 2</formula>
    </cfRule>
  </conditionalFormatting>
  <conditionalFormatting sqref="F30">
    <cfRule type="expression" dxfId="23" priority="7" stopIfTrue="1">
      <formula>M68 = 2</formula>
    </cfRule>
  </conditionalFormatting>
  <conditionalFormatting sqref="F31">
    <cfRule type="expression" dxfId="22" priority="8" stopIfTrue="1">
      <formula>M68 = 2</formula>
    </cfRule>
  </conditionalFormatting>
  <conditionalFormatting sqref="F32:F33">
    <cfRule type="expression" dxfId="21" priority="9" stopIfTrue="1">
      <formula>M69=2</formula>
    </cfRule>
  </conditionalFormatting>
  <conditionalFormatting sqref="F34">
    <cfRule type="expression" dxfId="20" priority="10" stopIfTrue="1">
      <formula>M70 = 2</formula>
    </cfRule>
  </conditionalFormatting>
  <conditionalFormatting sqref="F35">
    <cfRule type="expression" dxfId="19" priority="11" stopIfTrue="1">
      <formula>M69=2</formula>
    </cfRule>
  </conditionalFormatting>
  <conditionalFormatting sqref="B86">
    <cfRule type="expression" dxfId="18" priority="12" stopIfTrue="1">
      <formula>$D$83= 2</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2" t="str">
        <f>'Data Entry'!J5</f>
        <v>All Minorities</v>
      </c>
      <c r="G1" s="212"/>
      <c r="H1" s="212"/>
      <c r="I1" s="212"/>
      <c r="J1" s="212"/>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Eaton</v>
      </c>
      <c r="C3" s="22"/>
      <c r="D3" s="22"/>
      <c r="E3" s="22"/>
      <c r="F3" s="22"/>
      <c r="G3" s="7"/>
      <c r="H3" s="7"/>
      <c r="I3" s="7"/>
      <c r="J3" s="7"/>
      <c r="K3" s="7"/>
      <c r="N3" s="211" t="s">
        <v>31</v>
      </c>
      <c r="O3" s="211"/>
      <c r="P3" s="211"/>
      <c r="Q3" s="211"/>
      <c r="R3" s="211"/>
      <c r="S3" s="211"/>
      <c r="T3" s="211"/>
      <c r="U3" s="211"/>
    </row>
    <row r="4" spans="2:21" ht="8.25" customHeight="1" x14ac:dyDescent="0.25">
      <c r="B4" s="4"/>
      <c r="C4" s="23"/>
      <c r="D4" s="23"/>
      <c r="E4" s="23"/>
      <c r="F4" s="23"/>
      <c r="G4" s="8"/>
      <c r="H4" s="8"/>
      <c r="I4" s="8"/>
      <c r="N4" s="211"/>
      <c r="O4" s="211"/>
      <c r="P4" s="211"/>
      <c r="Q4" s="211"/>
      <c r="R4" s="211"/>
      <c r="S4" s="211"/>
      <c r="T4" s="211"/>
      <c r="U4" s="211"/>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7001</v>
      </c>
      <c r="D6" s="34"/>
      <c r="E6" s="33">
        <f>'Data Entry'!J6</f>
        <v>1918</v>
      </c>
      <c r="F6" s="34"/>
      <c r="G6" s="35"/>
      <c r="H6" s="36"/>
      <c r="I6" s="37"/>
      <c r="J6" s="38"/>
      <c r="K6" s="37"/>
      <c r="L6" s="1">
        <f>IF( ('Data Entry'!J6&gt;('Data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11</v>
      </c>
      <c r="D7" s="34">
        <f>IF((AND(C66&gt;0,C7&gt;0)),(C7/C66),0)</f>
        <v>1.571204113698043</v>
      </c>
      <c r="E7" s="33">
        <f>'Data Entry'!J7</f>
        <v>2</v>
      </c>
      <c r="F7" s="34">
        <f>IF((AND($E$7&gt;0,$D$66&gt;0)),($E$7/$D$66),0)</f>
        <v>1.0427528675703859</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2</v>
      </c>
      <c r="O7" s="42">
        <f>E6-E7</f>
        <v>1916</v>
      </c>
      <c r="P7" s="42">
        <f t="shared" ref="P7:P15" si="4">C7</f>
        <v>11</v>
      </c>
      <c r="Q7" s="42">
        <f>C6-C7</f>
        <v>6990</v>
      </c>
      <c r="R7" s="42">
        <f t="shared" ref="R7:R15" si="5">SUM(N7:Q7)</f>
        <v>8919</v>
      </c>
      <c r="S7" s="30">
        <f t="shared" ref="S7:S15" si="6">R7*((((N7*Q7)-(O7*P7))^2))</f>
        <v>449100333504</v>
      </c>
      <c r="T7" s="30">
        <f t="shared" ref="T7:T15" si="7">(N7+O7)*(P7+Q7)*(N7+P7)*(O7+Q7)</f>
        <v>1554657490204</v>
      </c>
      <c r="U7" s="31">
        <f t="shared" ref="U7:U15" si="8">IF((S7&gt;0),S7/T7,"- -")</f>
        <v>0.28887413229847153</v>
      </c>
    </row>
    <row r="8" spans="2:21" ht="18" customHeight="1" x14ac:dyDescent="0.25">
      <c r="B8" s="32" t="str">
        <f>'Data Entry'!A8</f>
        <v>3. Refer to Juvenile Court</v>
      </c>
      <c r="C8" s="33">
        <f>'Data Entry'!C8</f>
        <v>53</v>
      </c>
      <c r="D8" s="34">
        <f>IF((AND(C67&gt;0,C8&gt;0)),(C8/C67),0)</f>
        <v>481.81818181818181</v>
      </c>
      <c r="E8" s="33">
        <f>'Data Entry'!J8</f>
        <v>35</v>
      </c>
      <c r="F8" s="34">
        <f>IF((AND($E$8&gt;0,$D$67&gt;0)),($E8/$D67),0)</f>
        <v>1750</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35</v>
      </c>
      <c r="O8" s="42">
        <f>((D67*L67)-E8)+0.05</f>
        <v>-32.950000000000003</v>
      </c>
      <c r="P8" s="42">
        <f t="shared" si="4"/>
        <v>53</v>
      </c>
      <c r="Q8" s="42">
        <f>(C$67*L67)-C8</f>
        <v>-42</v>
      </c>
      <c r="R8" s="42">
        <f t="shared" si="5"/>
        <v>13.049999999999997</v>
      </c>
      <c r="S8" s="30">
        <f t="shared" si="6"/>
        <v>996619.65862500085</v>
      </c>
      <c r="T8" s="30">
        <f t="shared" si="7"/>
        <v>-148730.7799999998</v>
      </c>
      <c r="U8" s="31">
        <f t="shared" si="8"/>
        <v>-6.7008299063919532</v>
      </c>
    </row>
    <row r="9" spans="2:21" ht="18" customHeight="1" x14ac:dyDescent="0.25">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35</v>
      </c>
      <c r="P9" s="42">
        <f t="shared" si="4"/>
        <v>0</v>
      </c>
      <c r="Q9" s="42">
        <f>(C$68*L68)-C9</f>
        <v>53</v>
      </c>
      <c r="R9" s="42">
        <f t="shared" si="5"/>
        <v>88</v>
      </c>
      <c r="S9" s="30">
        <f t="shared" si="6"/>
        <v>0</v>
      </c>
      <c r="T9" s="30">
        <f t="shared" si="7"/>
        <v>0</v>
      </c>
      <c r="U9" s="31" t="str">
        <f t="shared" si="8"/>
        <v>- -</v>
      </c>
    </row>
    <row r="10" spans="2:21" ht="18" customHeight="1" x14ac:dyDescent="0.25">
      <c r="B10" s="32" t="str">
        <f>'Data Entry'!A10</f>
        <v>5. Cases Involving Secure Detention</v>
      </c>
      <c r="C10" s="33">
        <f>'Data Entry'!C10</f>
        <v>1</v>
      </c>
      <c r="D10" s="34">
        <f>IF(((AND(C68&gt;0,C10&gt;0))),(C10/(C68)),0)</f>
        <v>1.8867924528301885</v>
      </c>
      <c r="E10" s="33">
        <f>'Data Entry'!J10</f>
        <v>3</v>
      </c>
      <c r="F10" s="34">
        <f>IF(((AND($E$10&gt;0,$D$68&gt;0))),($E$10/($D$68)),0)</f>
        <v>8.5714285714285712</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3</v>
      </c>
      <c r="O10" s="42">
        <f>(D$68*L68)-E10</f>
        <v>32</v>
      </c>
      <c r="P10" s="42">
        <f t="shared" si="4"/>
        <v>1</v>
      </c>
      <c r="Q10" s="42">
        <f>(C$68*L68)-C10</f>
        <v>52</v>
      </c>
      <c r="R10" s="42">
        <f t="shared" si="5"/>
        <v>88</v>
      </c>
      <c r="S10" s="30">
        <f t="shared" si="6"/>
        <v>1353088</v>
      </c>
      <c r="T10" s="30">
        <f t="shared" si="7"/>
        <v>623280</v>
      </c>
      <c r="U10" s="31">
        <f t="shared" si="8"/>
        <v>2.1709151585162365</v>
      </c>
    </row>
    <row r="11" spans="2:21" ht="18" customHeight="1" x14ac:dyDescent="0.25">
      <c r="B11" s="32" t="str">
        <f>'Data Entry'!A11</f>
        <v>6. Cases Petitioned (Charge Filed)</v>
      </c>
      <c r="C11" s="33">
        <f>'Data Entry'!C11</f>
        <v>33</v>
      </c>
      <c r="D11" s="34">
        <f>IF(((AND(C68&gt;0,C11&gt;0))),(C11/(C68)),0)</f>
        <v>62.264150943396224</v>
      </c>
      <c r="E11" s="33">
        <f>'Data Entry'!J11</f>
        <v>19</v>
      </c>
      <c r="F11" s="34">
        <f>IF(((AND($E$11&gt;0,$D$68&gt;0))),($E$11/($D$68)),0)</f>
        <v>54.285714285714292</v>
      </c>
      <c r="G11" s="39">
        <f t="shared" si="0"/>
        <v>0.871861471861472</v>
      </c>
      <c r="H11" s="40"/>
      <c r="I11" s="41"/>
      <c r="J11" s="40">
        <f>IF((ABS($U11)&gt;Defaults!D$7),1,2)</f>
        <v>2</v>
      </c>
      <c r="K11" s="39">
        <f>IF((AND(N11&gt;Defaults!B$12,(N11+O11)&gt;Defaults!B$13, P11 &gt; Defaults!B$12, (P11+Q11) &gt; Defaults!B$13)),1,20)</f>
        <v>1</v>
      </c>
      <c r="L11" s="1">
        <f t="shared" si="1"/>
        <v>2</v>
      </c>
      <c r="M11" s="1" t="b">
        <f t="shared" si="2"/>
        <v>1</v>
      </c>
      <c r="N11" s="42">
        <f t="shared" si="3"/>
        <v>19</v>
      </c>
      <c r="O11" s="42">
        <f>(D$68*L68)-E11</f>
        <v>16</v>
      </c>
      <c r="P11" s="42">
        <f t="shared" si="4"/>
        <v>33</v>
      </c>
      <c r="Q11" s="42">
        <f>(C$68*L68)-C11</f>
        <v>20</v>
      </c>
      <c r="R11" s="42">
        <f t="shared" si="5"/>
        <v>88</v>
      </c>
      <c r="S11" s="30">
        <f t="shared" si="6"/>
        <v>1927552</v>
      </c>
      <c r="T11" s="30">
        <f t="shared" si="7"/>
        <v>3472560</v>
      </c>
      <c r="U11" s="31">
        <f t="shared" si="8"/>
        <v>0.5550809777224871</v>
      </c>
    </row>
    <row r="12" spans="2:21" ht="18" customHeight="1" x14ac:dyDescent="0.25">
      <c r="B12" s="32" t="str">
        <f>'Data Entry'!A12</f>
        <v>7. Cases Resulting in Delinquent Findings</v>
      </c>
      <c r="C12" s="33">
        <f>'Data Entry'!C12</f>
        <v>28</v>
      </c>
      <c r="D12" s="34">
        <f>IF(((AND(C69&gt;0,C12&gt;0))),(C12/(C69)),0)</f>
        <v>84.848484848484844</v>
      </c>
      <c r="E12" s="33">
        <f>'Data Entry'!J12</f>
        <v>16</v>
      </c>
      <c r="F12" s="34">
        <f>IF(((AND($D$69&gt;0,$E$12&gt;0))),(E12/(D69)),0)</f>
        <v>84.21052631578948</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16</v>
      </c>
      <c r="O12" s="42">
        <f>(D69*L69)-E12</f>
        <v>3</v>
      </c>
      <c r="P12" s="42">
        <f t="shared" si="4"/>
        <v>28</v>
      </c>
      <c r="Q12" s="42">
        <f>(C69*L69)-C12</f>
        <v>5</v>
      </c>
      <c r="R12" s="42">
        <f t="shared" si="5"/>
        <v>52</v>
      </c>
      <c r="S12" s="30">
        <f t="shared" si="6"/>
        <v>832</v>
      </c>
      <c r="T12" s="30">
        <f t="shared" si="7"/>
        <v>220704</v>
      </c>
      <c r="U12" s="31">
        <f t="shared" si="8"/>
        <v>3.7697549659272147E-3</v>
      </c>
    </row>
    <row r="13" spans="2:21" ht="18" customHeight="1" x14ac:dyDescent="0.25">
      <c r="B13" s="32" t="str">
        <f>'Data Entry'!A13</f>
        <v>8. Cases Resulting in Probation Placement</v>
      </c>
      <c r="C13" s="33">
        <f>'Data Entry'!C13</f>
        <v>27</v>
      </c>
      <c r="D13" s="34">
        <f>IF(((AND(C70&gt;0,C13&gt;0))),(C13/(C70)),0)</f>
        <v>96.428571428571416</v>
      </c>
      <c r="E13" s="33">
        <f>'Data Entry'!J13</f>
        <v>11</v>
      </c>
      <c r="F13" s="34">
        <f>IF(((AND($D$70&gt;0,$E$13&gt;0))),($E$13/($D$70)),0)</f>
        <v>68.75</v>
      </c>
      <c r="G13" s="39" t="str">
        <f t="shared" si="0"/>
        <v>**</v>
      </c>
      <c r="H13" s="40"/>
      <c r="I13" s="41"/>
      <c r="J13" s="40">
        <f>IF((ABS($U13)&gt;Defaults!D$7),1,2)</f>
        <v>1</v>
      </c>
      <c r="K13" s="39">
        <f>IF((AND(N13&gt;Defaults!B$12,(N13+O13)&gt;Defaults!B$13, P13 &gt; Defaults!B$12, (P13+Q13) &gt; Defaults!B$13)),1,20)</f>
        <v>20</v>
      </c>
      <c r="L13" s="1">
        <f t="shared" si="1"/>
        <v>20</v>
      </c>
      <c r="M13" s="1" t="b">
        <f t="shared" si="2"/>
        <v>1</v>
      </c>
      <c r="N13" s="42">
        <f t="shared" si="3"/>
        <v>11</v>
      </c>
      <c r="O13" s="42">
        <f>(D70*L70)-E13</f>
        <v>5</v>
      </c>
      <c r="P13" s="42">
        <f t="shared" si="4"/>
        <v>27</v>
      </c>
      <c r="Q13" s="42">
        <f>(C70*L70)-C13</f>
        <v>1.0000000000000036</v>
      </c>
      <c r="R13" s="42">
        <f t="shared" si="5"/>
        <v>44</v>
      </c>
      <c r="S13" s="30">
        <f t="shared" si="6"/>
        <v>676543.99999999953</v>
      </c>
      <c r="T13" s="30">
        <f t="shared" si="7"/>
        <v>102144.00000000009</v>
      </c>
      <c r="U13" s="31">
        <f t="shared" si="8"/>
        <v>6.6234335839598897</v>
      </c>
    </row>
    <row r="14" spans="2:21" ht="30.75" customHeight="1" x14ac:dyDescent="0.25">
      <c r="B14" s="32" t="str">
        <f>'Data Entry'!A14</f>
        <v xml:space="preserve">9. Cases Resulting in Confinement in Secure Juvenile Correctional Facilities </v>
      </c>
      <c r="C14" s="33">
        <f>'Data Entry'!C14</f>
        <v>3</v>
      </c>
      <c r="D14" s="34">
        <f>IF(((AND(C70&gt;0,C14&gt;0))), ((C14/(C70))),0)</f>
        <v>10.714285714285714</v>
      </c>
      <c r="E14" s="33">
        <f>'Data Entry'!J14</f>
        <v>10</v>
      </c>
      <c r="F14" s="34">
        <f>IF(((AND($D$70&gt;0,$E$14&gt;0))), (($E$14/($D$70))),0)</f>
        <v>62.5</v>
      </c>
      <c r="G14" s="39" t="str">
        <f t="shared" si="0"/>
        <v>**</v>
      </c>
      <c r="H14" s="40"/>
      <c r="I14" s="41"/>
      <c r="J14" s="40">
        <f>IF((ABS($U14)&gt;Defaults!D$7),1,2)</f>
        <v>1</v>
      </c>
      <c r="K14" s="39">
        <f>IF((AND(N14&gt;Defaults!B$12,(N14+O14)&gt;Defaults!B$13, P14 &gt; Defaults!B$12, (P14+Q14) &gt; Defaults!B$13)),1,20)</f>
        <v>20</v>
      </c>
      <c r="L14" s="1">
        <f t="shared" si="1"/>
        <v>20</v>
      </c>
      <c r="M14" s="1" t="b">
        <f t="shared" si="2"/>
        <v>1</v>
      </c>
      <c r="N14" s="42">
        <f t="shared" si="3"/>
        <v>10</v>
      </c>
      <c r="O14" s="42">
        <f>(D70*L70)-E14</f>
        <v>6</v>
      </c>
      <c r="P14" s="42">
        <f t="shared" si="4"/>
        <v>3</v>
      </c>
      <c r="Q14" s="42">
        <f>(C70*L70)-C14</f>
        <v>25.000000000000004</v>
      </c>
      <c r="R14" s="42">
        <f t="shared" si="5"/>
        <v>44</v>
      </c>
      <c r="S14" s="30">
        <f t="shared" si="6"/>
        <v>2368256.0000000005</v>
      </c>
      <c r="T14" s="30">
        <f t="shared" si="7"/>
        <v>180544.00000000006</v>
      </c>
      <c r="U14" s="31">
        <f t="shared" si="8"/>
        <v>13.1173342786246</v>
      </c>
    </row>
    <row r="15" spans="2:21" ht="15.75" customHeight="1" x14ac:dyDescent="0.25">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19</v>
      </c>
      <c r="P15" s="42">
        <f t="shared" si="4"/>
        <v>0</v>
      </c>
      <c r="Q15" s="42">
        <f>(C69*L69)-C15</f>
        <v>33</v>
      </c>
      <c r="R15" s="42">
        <f t="shared" si="5"/>
        <v>52</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1</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0" t="s">
        <v>79</v>
      </c>
      <c r="C40" s="210"/>
      <c r="D40" s="210"/>
      <c r="E40" s="210"/>
      <c r="F40" s="210"/>
      <c r="G40" s="210"/>
      <c r="H40" s="210"/>
      <c r="I40" s="210"/>
      <c r="J40" s="210"/>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7.0010000000000003</v>
      </c>
      <c r="D42" s="56">
        <f>E6/1000</f>
        <v>1.9179999999999999</v>
      </c>
      <c r="E42" s="56">
        <f>MAX(C42:D42)</f>
        <v>7.0010000000000003</v>
      </c>
      <c r="G42" s="1" t="str">
        <f>B42</f>
        <v>per 1000 youth</v>
      </c>
      <c r="L42" s="57">
        <v>1000</v>
      </c>
      <c r="M42" s="57"/>
      <c r="R42" s="49"/>
    </row>
    <row r="43" spans="2:18" ht="15" hidden="1" customHeight="1" x14ac:dyDescent="0.25">
      <c r="B43" s="49" t="s">
        <v>87</v>
      </c>
      <c r="C43" s="56">
        <f>C7/100</f>
        <v>0.11</v>
      </c>
      <c r="D43" s="56">
        <f>E7/100</f>
        <v>0.02</v>
      </c>
      <c r="E43" s="56">
        <f>MAX(C43:D43,0)</f>
        <v>0.11</v>
      </c>
      <c r="G43" s="1" t="str">
        <f>B43</f>
        <v>per 100 arrests</v>
      </c>
      <c r="L43" s="57">
        <v>100</v>
      </c>
      <c r="M43" s="57"/>
      <c r="R43" s="49"/>
    </row>
    <row r="44" spans="2:18" ht="15" hidden="1" customHeight="1" x14ac:dyDescent="0.25">
      <c r="B44" s="49" t="s">
        <v>88</v>
      </c>
      <c r="C44" s="56">
        <f>C8/100</f>
        <v>0.53</v>
      </c>
      <c r="D44" s="56">
        <f>E8/100</f>
        <v>0.35</v>
      </c>
      <c r="E44" s="56">
        <f>MAX(C44:D44,0)</f>
        <v>0.53</v>
      </c>
      <c r="G44" s="1" t="str">
        <f>B44</f>
        <v>per 100 referrals</v>
      </c>
      <c r="L44" s="57">
        <v>100</v>
      </c>
      <c r="M44" s="57"/>
      <c r="R44" s="49"/>
    </row>
    <row r="45" spans="2:18" ht="15" hidden="1" customHeight="1" x14ac:dyDescent="0.25">
      <c r="B45" s="49" t="s">
        <v>89</v>
      </c>
      <c r="C45" s="49">
        <f>C11/100</f>
        <v>0.33</v>
      </c>
      <c r="D45" s="49">
        <f>E11/100</f>
        <v>0.19</v>
      </c>
      <c r="E45" s="56">
        <f>MAX(C45:D45,0)</f>
        <v>0.33</v>
      </c>
      <c r="G45" s="1" t="str">
        <f>B45</f>
        <v>per 100 youth petitioned</v>
      </c>
      <c r="L45" s="57">
        <v>100</v>
      </c>
      <c r="M45" s="57"/>
      <c r="R45" s="49"/>
    </row>
    <row r="46" spans="2:18" ht="15" hidden="1" customHeight="1" x14ac:dyDescent="0.25">
      <c r="B46" s="49" t="s">
        <v>90</v>
      </c>
      <c r="C46" s="49">
        <f>C12/100</f>
        <v>0.28000000000000003</v>
      </c>
      <c r="D46" s="49">
        <f>E12/100</f>
        <v>0.16</v>
      </c>
      <c r="E46" s="56">
        <f>MAX(C46:D46)</f>
        <v>0.28000000000000003</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7.0010000000000003</v>
      </c>
      <c r="D48" s="56">
        <f>D42</f>
        <v>1.9179999999999999</v>
      </c>
      <c r="E48" s="56">
        <f>MAX(C48:D48)</f>
        <v>7.0010000000000003</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0.11</v>
      </c>
      <c r="D49" s="49">
        <f t="shared" si="9"/>
        <v>0.02</v>
      </c>
      <c r="E49" s="49">
        <f>MAX(C49:D49)</f>
        <v>0.11</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0.53</v>
      </c>
      <c r="D50" s="49">
        <f t="shared" si="9"/>
        <v>0.35</v>
      </c>
      <c r="E50" s="49">
        <f>MAX(C50:D50)</f>
        <v>0.53</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0.33</v>
      </c>
      <c r="D51" s="49">
        <f>IF(($E45&gt;0),D45,D44)</f>
        <v>0.19</v>
      </c>
      <c r="E51" s="49">
        <f>MAX(C51:D51)</f>
        <v>0.33</v>
      </c>
      <c r="G51" s="1" t="str">
        <f>G45</f>
        <v>per 100 youth petitioned</v>
      </c>
      <c r="L51" s="58">
        <f>IF(($E45&gt;0),L45,L44)</f>
        <v>100</v>
      </c>
      <c r="M51" s="58"/>
    </row>
    <row r="52" spans="2:18" ht="15" hidden="1" customHeight="1" x14ac:dyDescent="0.25">
      <c r="B52" s="49" t="str">
        <f>IF(($E46&gt;0),B46,B45)</f>
        <v>per 100 youth found delinquent</v>
      </c>
      <c r="C52" s="49">
        <f>IF(($E46&gt;0),C46,C45)</f>
        <v>0.28000000000000003</v>
      </c>
      <c r="D52" s="49">
        <f>IF(($E46&gt;0),D46,D45)</f>
        <v>0.16</v>
      </c>
      <c r="E52" s="56">
        <f>MAX(C52:D52)</f>
        <v>0.28000000000000003</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7.0010000000000003</v>
      </c>
      <c r="D54" s="56">
        <f>D48</f>
        <v>1.9179999999999999</v>
      </c>
      <c r="E54" s="56">
        <f>MAX(C54:D54)</f>
        <v>7.0010000000000003</v>
      </c>
      <c r="G54" s="1" t="str">
        <f>G48</f>
        <v>per 1000 youth</v>
      </c>
      <c r="L54" s="58">
        <f>L48</f>
        <v>1000</v>
      </c>
      <c r="M54" s="58"/>
    </row>
    <row r="55" spans="2:18" ht="15" hidden="1" customHeight="1" x14ac:dyDescent="0.25">
      <c r="B55" s="49" t="str">
        <f t="shared" ref="B55:D56" si="10">IF(($E49&gt;0),B49,B48)</f>
        <v>per 100 arrests</v>
      </c>
      <c r="C55" s="49">
        <f t="shared" si="10"/>
        <v>0.11</v>
      </c>
      <c r="D55" s="49">
        <f t="shared" si="10"/>
        <v>0.02</v>
      </c>
      <c r="E55" s="49">
        <f>MAX(C55:D55)</f>
        <v>0.11</v>
      </c>
      <c r="G55" s="1" t="str">
        <f>G49</f>
        <v>per 100 arrests</v>
      </c>
      <c r="L55" s="58">
        <f>IF(($E49&gt;0),L49,L48)</f>
        <v>100</v>
      </c>
      <c r="M55" s="58"/>
    </row>
    <row r="56" spans="2:18" ht="15" hidden="1" customHeight="1" x14ac:dyDescent="0.25">
      <c r="B56" s="49" t="str">
        <f t="shared" si="10"/>
        <v>per 100 referrals</v>
      </c>
      <c r="C56" s="49">
        <f t="shared" si="10"/>
        <v>0.53</v>
      </c>
      <c r="D56" s="49">
        <f t="shared" si="10"/>
        <v>0.35</v>
      </c>
      <c r="E56" s="49">
        <f>MAX(C56:D56)</f>
        <v>0.53</v>
      </c>
      <c r="G56" s="1" t="str">
        <f>G50</f>
        <v>per 100 referrals</v>
      </c>
      <c r="L56" s="58">
        <f>IF(($E50&gt;0),L50,L49)</f>
        <v>100</v>
      </c>
      <c r="M56" s="58"/>
    </row>
    <row r="57" spans="2:18" ht="15" hidden="1" customHeight="1" x14ac:dyDescent="0.25">
      <c r="B57" s="49" t="str">
        <f>IF(($E51&gt;0),B51,B49)</f>
        <v>per 100 youth petitioned</v>
      </c>
      <c r="C57" s="49">
        <f>IF(($E51&gt;0),C51,C50)</f>
        <v>0.33</v>
      </c>
      <c r="D57" s="49">
        <f>IF(($E51&gt;0),D51,D50)</f>
        <v>0.19</v>
      </c>
      <c r="E57" s="49">
        <f>MAX(C57:D57)</f>
        <v>0.33</v>
      </c>
      <c r="G57" s="1" t="str">
        <f>G51</f>
        <v>per 100 youth petitioned</v>
      </c>
      <c r="L57" s="58">
        <f>IF(($E51&gt;0),L51,L50)</f>
        <v>100</v>
      </c>
      <c r="M57" s="58"/>
    </row>
    <row r="58" spans="2:18" ht="15" hidden="1" customHeight="1" x14ac:dyDescent="0.25">
      <c r="B58" s="49" t="str">
        <f>IF(($E52&gt;0),B52,B51)</f>
        <v>per 100 youth found delinquent</v>
      </c>
      <c r="C58" s="49">
        <f>IF(($E52&gt;0),C52,C51)</f>
        <v>0.28000000000000003</v>
      </c>
      <c r="D58" s="49">
        <f>IF(($E52&gt;0),D52,D51)</f>
        <v>0.16</v>
      </c>
      <c r="E58" s="56">
        <f>MAX(C58:D58)</f>
        <v>0.28000000000000003</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7.0010000000000003</v>
      </c>
      <c r="D60" s="56">
        <f>D54</f>
        <v>1.9179999999999999</v>
      </c>
      <c r="E60" s="56">
        <f>MAX(C60:D60)</f>
        <v>7.0010000000000003</v>
      </c>
      <c r="G60" s="1" t="str">
        <f>G54</f>
        <v>per 1000 youth</v>
      </c>
      <c r="L60" s="58">
        <f>L54</f>
        <v>1000</v>
      </c>
      <c r="M60" s="58"/>
    </row>
    <row r="61" spans="2:18" ht="15" hidden="1" customHeight="1" x14ac:dyDescent="0.25">
      <c r="B61" s="49" t="str">
        <f t="shared" ref="B61:D62" si="11">IF(($E55&gt;0),B55,B54)</f>
        <v>per 100 arrests</v>
      </c>
      <c r="C61" s="49">
        <f t="shared" si="11"/>
        <v>0.11</v>
      </c>
      <c r="D61" s="49">
        <f t="shared" si="11"/>
        <v>0.02</v>
      </c>
      <c r="E61" s="49">
        <f>MAX(C61:D61)</f>
        <v>0.11</v>
      </c>
      <c r="G61" s="1" t="str">
        <f>G55</f>
        <v>per 100 arrests</v>
      </c>
      <c r="L61" s="58">
        <f>IF(($E55&gt;0),L55,L54)</f>
        <v>100</v>
      </c>
      <c r="M61" s="58"/>
    </row>
    <row r="62" spans="2:18" ht="15" hidden="1" customHeight="1" x14ac:dyDescent="0.25">
      <c r="B62" s="49" t="str">
        <f t="shared" si="11"/>
        <v>per 100 referrals</v>
      </c>
      <c r="C62" s="49">
        <f t="shared" si="11"/>
        <v>0.53</v>
      </c>
      <c r="D62" s="49">
        <f t="shared" si="11"/>
        <v>0.35</v>
      </c>
      <c r="E62" s="49">
        <f>MAX(C62:D62)</f>
        <v>0.53</v>
      </c>
      <c r="G62" s="1" t="str">
        <f>G56</f>
        <v>per 100 referrals</v>
      </c>
      <c r="L62" s="58">
        <f>IF(($E56&gt;0),L56,L55)</f>
        <v>100</v>
      </c>
      <c r="M62" s="58"/>
    </row>
    <row r="63" spans="2:18" ht="15" hidden="1" customHeight="1" x14ac:dyDescent="0.25">
      <c r="B63" s="49" t="str">
        <f>IF(($E57&gt;0),B57,B55)</f>
        <v>per 100 youth petitioned</v>
      </c>
      <c r="C63" s="49">
        <f>IF(($E57&gt;0),C57,C56)</f>
        <v>0.33</v>
      </c>
      <c r="D63" s="49">
        <f>IF(($E57&gt;0),D57,D56)</f>
        <v>0.19</v>
      </c>
      <c r="E63" s="49">
        <f>MAX(C63:D63)</f>
        <v>0.33</v>
      </c>
      <c r="G63" s="1" t="str">
        <f>G57</f>
        <v>per 100 youth petitioned</v>
      </c>
      <c r="L63" s="58">
        <f>IF(($E57&gt;0),L57,L56)</f>
        <v>100</v>
      </c>
      <c r="M63" s="58"/>
    </row>
    <row r="64" spans="2:18" ht="15" hidden="1" customHeight="1" x14ac:dyDescent="0.25">
      <c r="B64" s="49" t="str">
        <f>IF(($E58&gt;0),B58,B57)</f>
        <v>per 100 youth found delinquent</v>
      </c>
      <c r="C64" s="49">
        <f>IF(($E58&gt;0),C58,C57)</f>
        <v>0.28000000000000003</v>
      </c>
      <c r="D64" s="49">
        <f>IF(($E58&gt;0),D58,D57)</f>
        <v>0.16</v>
      </c>
      <c r="E64" s="56">
        <f>MAX(C64:D64)</f>
        <v>0.28000000000000003</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7.0010000000000003</v>
      </c>
      <c r="D66" s="56">
        <f>D60</f>
        <v>1.9179999999999999</v>
      </c>
      <c r="E66" s="56">
        <f>MAX(C66:D66)</f>
        <v>7.0010000000000003</v>
      </c>
      <c r="G66" s="1" t="str">
        <f>G60</f>
        <v>per 1000 youth</v>
      </c>
      <c r="L66" s="58">
        <f>L60</f>
        <v>1000</v>
      </c>
      <c r="M66" s="58">
        <f>IF((B66=G66),1,2)</f>
        <v>1</v>
      </c>
    </row>
    <row r="67" spans="2:13" ht="15" hidden="1" customHeight="1" x14ac:dyDescent="0.25">
      <c r="B67" s="49" t="str">
        <f t="shared" ref="B67:D68" si="12">IF(($E61&gt;0),B61,B60)</f>
        <v>per 100 arrests</v>
      </c>
      <c r="C67" s="49">
        <f t="shared" si="12"/>
        <v>0.11</v>
      </c>
      <c r="D67" s="49">
        <f t="shared" si="12"/>
        <v>0.02</v>
      </c>
      <c r="E67" s="49">
        <f>MAX(C67:D67)</f>
        <v>0.11</v>
      </c>
      <c r="G67" s="1" t="str">
        <f>G61</f>
        <v>per 100 arrests</v>
      </c>
      <c r="L67" s="58">
        <f>IF(($E61&gt;0),L61,L60)</f>
        <v>100</v>
      </c>
      <c r="M67" s="58">
        <f>IF((B67=G67),1,2)</f>
        <v>1</v>
      </c>
    </row>
    <row r="68" spans="2:13" ht="15" hidden="1" customHeight="1" x14ac:dyDescent="0.25">
      <c r="B68" s="49" t="str">
        <f t="shared" si="12"/>
        <v>per 100 referrals</v>
      </c>
      <c r="C68" s="49">
        <f t="shared" si="12"/>
        <v>0.53</v>
      </c>
      <c r="D68" s="49">
        <f t="shared" si="12"/>
        <v>0.35</v>
      </c>
      <c r="E68" s="49">
        <f>MAX(C68:D68)</f>
        <v>0.53</v>
      </c>
      <c r="G68" s="1" t="str">
        <f>G62</f>
        <v>per 100 referrals</v>
      </c>
      <c r="L68" s="58">
        <f>IF(($E62&gt;0),L62,L61)</f>
        <v>100</v>
      </c>
      <c r="M68" s="58">
        <f>IF((B68=G68),1,2)</f>
        <v>1</v>
      </c>
    </row>
    <row r="69" spans="2:13" ht="15" hidden="1" customHeight="1" x14ac:dyDescent="0.25">
      <c r="B69" s="49" t="str">
        <f>IF(($E63&gt;0),B63,B61)</f>
        <v>per 100 youth petitioned</v>
      </c>
      <c r="C69" s="49">
        <f>IF(($E63&gt;0),C63,C62)</f>
        <v>0.33</v>
      </c>
      <c r="D69" s="49">
        <f>IF(($E63&gt;0),D63,D62)</f>
        <v>0.19</v>
      </c>
      <c r="E69" s="49">
        <f>MAX(C69:D69)</f>
        <v>0.33</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0.28000000000000003</v>
      </c>
      <c r="D70" s="49">
        <f>IF(($E64&gt;0),D64,D63)</f>
        <v>0.16</v>
      </c>
      <c r="E70" s="56">
        <f>MAX(C70:D70)</f>
        <v>0.28000000000000003</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17" priority="1" stopIfTrue="1">
      <formula>M67=2</formula>
    </cfRule>
  </conditionalFormatting>
  <conditionalFormatting sqref="F35">
    <cfRule type="expression" dxfId="16" priority="2" stopIfTrue="1">
      <formula>M69=2</formula>
    </cfRule>
  </conditionalFormatting>
  <conditionalFormatting sqref="G7:G15">
    <cfRule type="expression" dxfId="15" priority="3" stopIfTrue="1">
      <formula>$L7=1</formula>
    </cfRule>
    <cfRule type="expression" dxfId="14" priority="4" stopIfTrue="1">
      <formula>$L7=2</formula>
    </cfRule>
    <cfRule type="expression" dxfId="13" priority="5" stopIfTrue="1">
      <formula>$L7&gt;3</formula>
    </cfRule>
  </conditionalFormatting>
  <conditionalFormatting sqref="F27">
    <cfRule type="expression" dxfId="12" priority="6" stopIfTrue="1">
      <formula>M66=2</formula>
    </cfRule>
  </conditionalFormatting>
  <conditionalFormatting sqref="F29">
    <cfRule type="expression" dxfId="11" priority="7" stopIfTrue="1">
      <formula>M68 = 2</formula>
    </cfRule>
  </conditionalFormatting>
  <conditionalFormatting sqref="F30">
    <cfRule type="expression" dxfId="10" priority="8" stopIfTrue="1">
      <formula>M68 = 2</formula>
    </cfRule>
  </conditionalFormatting>
  <conditionalFormatting sqref="F31">
    <cfRule type="expression" dxfId="9" priority="9" stopIfTrue="1">
      <formula>M68 = 2</formula>
    </cfRule>
  </conditionalFormatting>
  <conditionalFormatting sqref="F32:F33">
    <cfRule type="expression" dxfId="8" priority="10" stopIfTrue="1">
      <formula>M69=2</formula>
    </cfRule>
  </conditionalFormatting>
  <conditionalFormatting sqref="F34">
    <cfRule type="expression" dxfId="7" priority="11" stopIfTrue="1">
      <formula>M70 = 2</formula>
    </cfRule>
  </conditionalFormatting>
  <conditionalFormatting sqref="B86">
    <cfRule type="expression" dxfId="6" priority="12" stopIfTrue="1">
      <formula>$D$83= 2</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x14ac:dyDescent="0.25"/>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x14ac:dyDescent="0.25"/>
    <row r="2" spans="2:18" ht="15" customHeight="1" x14ac:dyDescent="0.25">
      <c r="B2" s="63" t="s">
        <v>94</v>
      </c>
      <c r="C2" s="64"/>
      <c r="D2" s="64"/>
      <c r="E2" s="64"/>
      <c r="F2" s="64"/>
      <c r="G2" s="64"/>
      <c r="H2" s="64"/>
      <c r="I2" s="65"/>
    </row>
    <row r="3" spans="2:18" ht="15" customHeight="1" x14ac:dyDescent="0.25">
      <c r="B3" s="66"/>
      <c r="E3" s="1" t="str">
        <f>'Data Entry'!C3</f>
        <v xml:space="preserve">Reporting Period:  </v>
      </c>
      <c r="I3" s="67"/>
    </row>
    <row r="4" spans="2:18" ht="15" customHeight="1" x14ac:dyDescent="0.25">
      <c r="B4" s="66" t="str">
        <f>'Data Entry'!A2</f>
        <v>State: Michigan</v>
      </c>
      <c r="E4" s="1" t="str">
        <f>'Data Entry'!C4</f>
        <v>10/1/20 through 9/30/21</v>
      </c>
      <c r="I4" s="67"/>
    </row>
    <row r="5" spans="2:18" ht="15" customHeight="1" x14ac:dyDescent="0.25">
      <c r="B5" s="66" t="str">
        <f>'Data Entry'!A3</f>
        <v>County: Eaton</v>
      </c>
      <c r="E5" s="1"/>
      <c r="I5" s="67"/>
    </row>
    <row r="6" spans="2:18" s="8" customFormat="1" ht="75" customHeight="1" x14ac:dyDescent="0.25">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x14ac:dyDescent="0.25">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40</v>
      </c>
      <c r="O7" s="1" t="e">
        <f>Hawaiian!L7</f>
        <v>#VALUE!</v>
      </c>
      <c r="P7" s="1">
        <f>'Am Indian'!L7</f>
        <v>139</v>
      </c>
      <c r="Q7" s="1" t="e">
        <f>'Other - Mixed'!L7</f>
        <v>#VALUE!</v>
      </c>
      <c r="R7" s="1">
        <f>'All Minorities'!L7</f>
        <v>40</v>
      </c>
    </row>
    <row r="8" spans="2:18" ht="15" customHeight="1" x14ac:dyDescent="0.25">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20</v>
      </c>
      <c r="M8" s="1">
        <f>Hispanic!L8</f>
        <v>40</v>
      </c>
      <c r="N8" s="1">
        <f>Asian!L8</f>
        <v>40</v>
      </c>
      <c r="O8" s="1">
        <f>Hawaiian!L8</f>
        <v>139</v>
      </c>
      <c r="P8" s="1">
        <f>'Am Indian'!L8</f>
        <v>139</v>
      </c>
      <c r="Q8" s="1">
        <f>'Other - Mixed'!L8</f>
        <v>119</v>
      </c>
      <c r="R8" s="1">
        <f>'All Minorities'!L8</f>
        <v>20</v>
      </c>
    </row>
    <row r="9" spans="2:18" ht="15" customHeight="1" x14ac:dyDescent="0.25">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x14ac:dyDescent="0.25">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f>'Black or African-American'!L10</f>
        <v>40</v>
      </c>
      <c r="M10" s="1" t="e">
        <f>Hispanic!L10</f>
        <v>#VALUE!</v>
      </c>
      <c r="N10" s="1" t="e">
        <f>Asian!L10</f>
        <v>#VALUE!</v>
      </c>
      <c r="O10" s="1" t="e">
        <f>Hawaiian!L10</f>
        <v>#VALUE!</v>
      </c>
      <c r="P10" s="1" t="e">
        <f>'Am Indian'!L10</f>
        <v>#VALUE!</v>
      </c>
      <c r="Q10" s="1">
        <f>'Other - Mixed'!L10</f>
        <v>139</v>
      </c>
      <c r="R10" s="1">
        <f>'All Minorities'!L10</f>
        <v>40</v>
      </c>
    </row>
    <row r="11" spans="2:18" ht="15" customHeight="1" x14ac:dyDescent="0.25">
      <c r="B11" s="71" t="s">
        <v>95</v>
      </c>
      <c r="C11" s="72" t="str">
        <f>'Black or African-American'!$G11</f>
        <v>**</v>
      </c>
      <c r="D11" s="72" t="str">
        <f>Hispanic!G11</f>
        <v>--</v>
      </c>
      <c r="E11" s="72" t="str">
        <f>Asian!G11</f>
        <v>--</v>
      </c>
      <c r="F11" s="72" t="str">
        <f>Hawaiian!G11</f>
        <v>*</v>
      </c>
      <c r="G11" s="72" t="str">
        <f>'Am Indian'!G11</f>
        <v>*</v>
      </c>
      <c r="H11" s="72" t="str">
        <f>'Other - Mixed'!G11</f>
        <v>*</v>
      </c>
      <c r="I11" s="73">
        <f>'All Minorities'!G11</f>
        <v>0.871861471861472</v>
      </c>
      <c r="L11" s="1">
        <f>'Black or African-American'!L11</f>
        <v>40</v>
      </c>
      <c r="M11" s="1" t="e">
        <f>Hispanic!L11</f>
        <v>#VALUE!</v>
      </c>
      <c r="N11" s="1" t="e">
        <f>Asian!L11</f>
        <v>#VALUE!</v>
      </c>
      <c r="O11" s="1" t="e">
        <f>Hawaiian!L11</f>
        <v>#VALUE!</v>
      </c>
      <c r="P11" s="1" t="e">
        <f>'Am Indian'!L11</f>
        <v>#VALUE!</v>
      </c>
      <c r="Q11" s="1">
        <f>'Other - Mixed'!L11</f>
        <v>139</v>
      </c>
      <c r="R11" s="1">
        <f>'All Minorities'!L11</f>
        <v>2</v>
      </c>
    </row>
    <row r="12" spans="2:18" ht="15" customHeight="1" x14ac:dyDescent="0.25">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f>'Black or African-American'!L12</f>
        <v>40</v>
      </c>
      <c r="M12" s="1" t="e">
        <f>Hispanic!L12</f>
        <v>#VALUE!</v>
      </c>
      <c r="N12" s="1" t="e">
        <f>Asian!L12</f>
        <v>#VALUE!</v>
      </c>
      <c r="O12" s="1" t="e">
        <f>Hawaiian!L12</f>
        <v>#VALUE!</v>
      </c>
      <c r="P12" s="1" t="e">
        <f>'Am Indian'!L12</f>
        <v>#VALUE!</v>
      </c>
      <c r="Q12" s="1">
        <f>'Other - Mixed'!L12</f>
        <v>139</v>
      </c>
      <c r="R12" s="1">
        <f>'All Minorities'!L12</f>
        <v>40</v>
      </c>
    </row>
    <row r="13" spans="2:18" ht="15" customHeight="1" x14ac:dyDescent="0.25">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f>'Black or African-American'!L13</f>
        <v>20</v>
      </c>
      <c r="M13" s="1" t="e">
        <f>Hispanic!L13</f>
        <v>#VALUE!</v>
      </c>
      <c r="N13" s="1" t="e">
        <f>Asian!L13</f>
        <v>#VALUE!</v>
      </c>
      <c r="O13" s="1" t="e">
        <f>Hawaiian!L13</f>
        <v>#VALUE!</v>
      </c>
      <c r="P13" s="1" t="e">
        <f>'Am Indian'!L13</f>
        <v>#VALUE!</v>
      </c>
      <c r="Q13" s="1">
        <f>'Other - Mixed'!L13</f>
        <v>119</v>
      </c>
      <c r="R13" s="1">
        <f>'All Minorities'!L13</f>
        <v>20</v>
      </c>
    </row>
    <row r="14" spans="2:18" ht="25.5" customHeight="1" x14ac:dyDescent="0.25">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f>'Black or African-American'!L14</f>
        <v>20</v>
      </c>
      <c r="M14" s="1" t="e">
        <f>Hispanic!L14</f>
        <v>#VALUE!</v>
      </c>
      <c r="N14" s="1" t="e">
        <f>Asian!L14</f>
        <v>#VALUE!</v>
      </c>
      <c r="O14" s="1" t="e">
        <f>Hawaiian!L14</f>
        <v>#VALUE!</v>
      </c>
      <c r="P14" s="1" t="e">
        <f>'Am Indian'!L14</f>
        <v>#VALUE!</v>
      </c>
      <c r="Q14" s="1">
        <f>'Other - Mixed'!L14</f>
        <v>119</v>
      </c>
      <c r="R14" s="1">
        <f>'All Minorities'!L14</f>
        <v>20</v>
      </c>
    </row>
    <row r="15" spans="2:18" ht="15" customHeight="1" x14ac:dyDescent="0.25">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x14ac:dyDescent="0.25">
      <c r="B16" s="74" t="s">
        <v>96</v>
      </c>
      <c r="C16" s="75" t="str">
        <f>'Data Entry'!$D$16</f>
        <v>Yes</v>
      </c>
      <c r="D16" s="75" t="str">
        <f>'Data Entry'!$E$16</f>
        <v>Yes</v>
      </c>
      <c r="E16" s="75" t="str">
        <f>'Data Entry'!F16</f>
        <v>Yes</v>
      </c>
      <c r="F16" s="75" t="str">
        <f>'Data Entry'!G16</f>
        <v>No</v>
      </c>
      <c r="G16" s="75" t="str">
        <f>'Data Entry'!H16</f>
        <v>No</v>
      </c>
      <c r="H16" s="75" t="str">
        <f>'Data Entry'!I16</f>
        <v>No</v>
      </c>
      <c r="I16" s="67"/>
    </row>
    <row r="17" spans="2:9" ht="15" customHeight="1" x14ac:dyDescent="0.25">
      <c r="B17" s="66"/>
      <c r="E17" s="1"/>
      <c r="I17" s="67"/>
    </row>
    <row r="18" spans="2:9" ht="15.75" customHeight="1" x14ac:dyDescent="0.25">
      <c r="B18" s="76">
        <f>'Black or African-American'!B16</f>
        <v>0</v>
      </c>
      <c r="C18" s="77"/>
      <c r="D18" s="77"/>
      <c r="E18" s="77"/>
      <c r="F18" s="77"/>
      <c r="G18" s="77"/>
      <c r="H18" s="77"/>
      <c r="I18" s="78"/>
    </row>
    <row r="20" spans="2:9" ht="15" customHeight="1" x14ac:dyDescent="0.25">
      <c r="B20" s="1" t="s">
        <v>51</v>
      </c>
    </row>
    <row r="21" spans="2:9" ht="15" customHeight="1" x14ac:dyDescent="0.25">
      <c r="B21" s="1" t="s">
        <v>52</v>
      </c>
      <c r="D21" s="45" t="s">
        <v>53</v>
      </c>
    </row>
    <row r="22" spans="2:9" ht="15" customHeight="1" x14ac:dyDescent="0.25">
      <c r="B22" s="1" t="s">
        <v>54</v>
      </c>
      <c r="D22" s="1" t="s">
        <v>55</v>
      </c>
    </row>
    <row r="23" spans="2:9" ht="15" customHeight="1" x14ac:dyDescent="0.25">
      <c r="B23" s="1" t="s">
        <v>56</v>
      </c>
      <c r="D23" s="1" t="s">
        <v>57</v>
      </c>
    </row>
    <row r="24" spans="2:9" ht="15" customHeight="1" x14ac:dyDescent="0.25">
      <c r="B24" s="1" t="s">
        <v>58</v>
      </c>
      <c r="D24" s="1" t="s">
        <v>59</v>
      </c>
    </row>
    <row r="25" spans="2:9" ht="15" customHeight="1" x14ac:dyDescent="0.25">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x14ac:dyDescent="0.25"/>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x14ac:dyDescent="0.25">
      <c r="B1" s="1" t="s">
        <v>97</v>
      </c>
    </row>
    <row r="2" spans="2:11" ht="75" customHeight="1" x14ac:dyDescent="0.25">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x14ac:dyDescent="0.25">
      <c r="B3" s="16" t="str">
        <f>'Data Entry'!A6</f>
        <v xml:space="preserve">1. Population at Risk (age 10 through 16) </v>
      </c>
      <c r="C3" s="57">
        <f>'Data Entry'!B6</f>
        <v>8919</v>
      </c>
      <c r="D3" s="57">
        <f>'Data Entry'!C6</f>
        <v>7001</v>
      </c>
      <c r="E3" s="57">
        <f>'Data Entry'!D6</f>
        <v>896</v>
      </c>
      <c r="F3" s="57">
        <f>'Data Entry'!E6</f>
        <v>760</v>
      </c>
      <c r="G3" s="57">
        <f>'Data Entry'!F6</f>
        <v>221</v>
      </c>
      <c r="H3" s="57">
        <f>'Data Entry'!G6</f>
        <v>0</v>
      </c>
      <c r="I3" s="57">
        <f>'Data Entry'!H6</f>
        <v>41</v>
      </c>
      <c r="J3" s="57">
        <f>'Data Entry'!I6</f>
        <v>0</v>
      </c>
      <c r="K3" s="57">
        <f>'Data Entry'!J6</f>
        <v>1918</v>
      </c>
    </row>
    <row r="4" spans="2:11" ht="15" customHeight="1" x14ac:dyDescent="0.25">
      <c r="B4" s="16" t="s">
        <v>8</v>
      </c>
      <c r="C4" s="1">
        <f>IF((C$3&gt;0),(1000*('Data Entry'!B7/'Data Entry'!B$6)), 0)</f>
        <v>1.457562507007512</v>
      </c>
      <c r="D4" s="1">
        <f>IF((D$3&gt;0),(1000*('Data Entry'!C7/'Data Entry'!C$6)), 0)</f>
        <v>1.571204113698043</v>
      </c>
      <c r="E4" s="1">
        <f>IF((E$3&gt;0),(1000*('Data Entry'!D7/'Data Entry'!D$6)), 0)</f>
        <v>1.1160714285714286</v>
      </c>
      <c r="F4" s="1">
        <f>IF((F$3&gt;0),(1000*('Data Entry'!E7/'Data Entry'!E$6)), 0)</f>
        <v>1.3157894736842104</v>
      </c>
      <c r="G4" s="1">
        <f>IF((G$3&gt;0),(1000*('Data Entry'!F7/'Data Entry'!F$6)), 0)</f>
        <v>0</v>
      </c>
      <c r="H4" s="1">
        <f>IF((H$3&gt;0),(1000*('Data Entry'!G7/'Data Entry'!G$6)), 0)</f>
        <v>0</v>
      </c>
      <c r="I4" s="1">
        <f>IF((I$3&gt;0),(1000*('Data Entry'!H7/'Data Entry'!H$6)), 0)</f>
        <v>0</v>
      </c>
      <c r="J4" s="1">
        <f>IF((J$3&gt;0),(1000*('Data Entry'!I7/'Data Entry'!I$6)), 0)</f>
        <v>0</v>
      </c>
      <c r="K4" s="1">
        <f>IF((K$3&gt;0),(1000*('Data Entry'!J7/'Data Entry'!J$6)), 0)</f>
        <v>1.0427528675703859</v>
      </c>
    </row>
    <row r="5" spans="2:11" ht="15" customHeight="1" x14ac:dyDescent="0.25">
      <c r="B5" s="16" t="s">
        <v>9</v>
      </c>
      <c r="C5" s="1">
        <f>IF((C$3&gt;0),(1000*('Data Entry'!B8/'Data Entry'!B$6)), 0)</f>
        <v>11.660500056060096</v>
      </c>
      <c r="D5" s="1">
        <f>IF((D$3&gt;0),(1000*('Data Entry'!C8/'Data Entry'!C$6)), 0)</f>
        <v>7.5703470932723897</v>
      </c>
      <c r="E5" s="1">
        <f>IF((E$3&gt;0),(1000*('Data Entry'!D8/'Data Entry'!D$6)), 0)</f>
        <v>33.482142857142854</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18.248175182481749</v>
      </c>
    </row>
    <row r="6" spans="2:11" ht="15" customHeight="1" x14ac:dyDescent="0.25">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x14ac:dyDescent="0.25">
      <c r="B7" s="16" t="s">
        <v>11</v>
      </c>
      <c r="C7" s="1">
        <f>IF((C$3&gt;0),(1000*('Data Entry'!B10/'Data Entry'!B$6)), 0)</f>
        <v>0.56060096423365846</v>
      </c>
      <c r="D7" s="1">
        <f>IF((D$3&gt;0),(1000*('Data Entry'!C10/'Data Entry'!C$6)), 0)</f>
        <v>0.14283673760891302</v>
      </c>
      <c r="E7" s="1">
        <f>IF((E$3&gt;0),(1000*('Data Entry'!D10/'Data Entry'!D$6)), 0)</f>
        <v>3.3482142857142856</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1.5641293013555788</v>
      </c>
    </row>
    <row r="8" spans="2:11" ht="15" customHeight="1" x14ac:dyDescent="0.25">
      <c r="B8" s="16" t="s">
        <v>95</v>
      </c>
      <c r="C8" s="1">
        <f>IF((C$3&gt;0),(1000*('Data Entry'!B11/'Data Entry'!B$6)), 0)</f>
        <v>6.5029711851104377</v>
      </c>
      <c r="D8" s="1">
        <f>IF((D$3&gt;0),(1000*('Data Entry'!C11/'Data Entry'!C$6)), 0)</f>
        <v>4.7136123410941293</v>
      </c>
      <c r="E8" s="1">
        <f>IF((E$3&gt;0),(1000*('Data Entry'!D11/'Data Entry'!D$6)), 0)</f>
        <v>18.973214285714285</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9.9061522419186652</v>
      </c>
    </row>
    <row r="9" spans="2:11" ht="15" customHeight="1" x14ac:dyDescent="0.25">
      <c r="B9" s="16" t="s">
        <v>13</v>
      </c>
      <c r="C9" s="1">
        <f>IF((C$3&gt;0),(1000*('Data Entry'!B12/'Data Entry'!B$6)), 0)</f>
        <v>5.6060096423365842</v>
      </c>
      <c r="D9" s="1">
        <f>IF((D$3&gt;0),(1000*('Data Entry'!C12/'Data Entry'!C$6)), 0)</f>
        <v>3.9994286530495642</v>
      </c>
      <c r="E9" s="1">
        <f>IF((E$3&gt;0),(1000*('Data Entry'!D12/'Data Entry'!D$6)), 0)</f>
        <v>15.625</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8.342022940563087</v>
      </c>
    </row>
    <row r="10" spans="2:11" ht="15" customHeight="1" x14ac:dyDescent="0.25">
      <c r="B10" s="16" t="s">
        <v>14</v>
      </c>
      <c r="C10" s="1">
        <f>IF((C$3&gt;0),(1000*('Data Entry'!B13/'Data Entry'!B$6)), 0)</f>
        <v>4.4848077138692677</v>
      </c>
      <c r="D10" s="1">
        <f>IF((D$3&gt;0),(1000*('Data Entry'!C13/'Data Entry'!C$6)), 0)</f>
        <v>3.8565919154406512</v>
      </c>
      <c r="E10" s="1">
        <f>IF((E$3&gt;0),(1000*('Data Entry'!D13/'Data Entry'!D$6)), 0)</f>
        <v>7.8125</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5.7351407716371217</v>
      </c>
    </row>
    <row r="11" spans="2:11" ht="25.5" customHeight="1" x14ac:dyDescent="0.25">
      <c r="B11" s="16" t="s">
        <v>15</v>
      </c>
      <c r="C11" s="1">
        <f>IF((C$3&gt;0),(1000*('Data Entry'!B14/'Data Entry'!B$6)), 0)</f>
        <v>1.5696826998542437</v>
      </c>
      <c r="D11" s="1">
        <f>IF((D$3&gt;0),(1000*('Data Entry'!C14/'Data Entry'!C$6)), 0)</f>
        <v>0.42851021282673901</v>
      </c>
      <c r="E11" s="1">
        <f>IF((E$3&gt;0),(1000*('Data Entry'!D14/'Data Entry'!D$6)), 0)</f>
        <v>7.8125</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5.2137643378519289</v>
      </c>
    </row>
    <row r="12" spans="2:11" ht="15" customHeight="1" x14ac:dyDescent="0.25">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x14ac:dyDescent="0.25">
      <c r="B13" s="16"/>
    </row>
    <row r="14" spans="2:11" ht="15" customHeight="1" x14ac:dyDescent="0.25">
      <c r="B14" s="213" t="s">
        <v>98</v>
      </c>
      <c r="C14" s="214"/>
      <c r="D14" s="214"/>
      <c r="E14" s="214"/>
      <c r="F14" s="64"/>
      <c r="G14" s="64"/>
      <c r="H14" s="64"/>
      <c r="I14" s="64"/>
      <c r="J14" s="65"/>
    </row>
    <row r="15" spans="2:11" ht="15" customHeight="1" x14ac:dyDescent="0.25">
      <c r="B15" s="79"/>
      <c r="C15" s="8"/>
      <c r="D15" s="8"/>
      <c r="E15" s="1"/>
      <c r="F15" s="1" t="str">
        <f>'Data Entry'!C3</f>
        <v xml:space="preserve">Reporting Period:  </v>
      </c>
      <c r="G15" s="1"/>
      <c r="H15" s="1"/>
      <c r="I15" s="1"/>
      <c r="J15" s="67"/>
    </row>
    <row r="16" spans="2:11" ht="15" customHeight="1" x14ac:dyDescent="0.25">
      <c r="B16" s="80" t="str">
        <f>'Data Entry'!A2</f>
        <v>State: Michigan</v>
      </c>
      <c r="C16" s="8"/>
      <c r="D16" s="8"/>
      <c r="E16" s="1"/>
      <c r="F16" s="1" t="str">
        <f>'Data Entry'!C4</f>
        <v>10/1/20 through 9/30/21</v>
      </c>
      <c r="G16" s="1"/>
      <c r="H16" s="1"/>
      <c r="I16" s="1"/>
      <c r="J16" s="67"/>
    </row>
    <row r="17" spans="2:10" ht="15" customHeight="1" x14ac:dyDescent="0.25">
      <c r="B17" s="81" t="str">
        <f>'Data Entry'!A3</f>
        <v>County: Eaton</v>
      </c>
      <c r="C17" s="82"/>
      <c r="D17" s="82"/>
      <c r="E17" s="82"/>
      <c r="F17" s="82"/>
      <c r="G17" s="82"/>
      <c r="H17" s="82"/>
      <c r="I17" s="82"/>
      <c r="J17" s="83"/>
    </row>
    <row r="18" spans="2:10" ht="75" customHeight="1" x14ac:dyDescent="0.25">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x14ac:dyDescent="0.25">
      <c r="B19" s="71" t="s">
        <v>8</v>
      </c>
      <c r="C19" s="72">
        <f>IF(AND(($D4&gt;0),(D4&gt;0)), (D4/$D4),"--")</f>
        <v>1</v>
      </c>
      <c r="D19" s="72">
        <f t="shared" ref="D19:J19" si="1">IF(AND(($D4&gt;0),(E4&gt;0)), (E4/$D4),"--")</f>
        <v>0.71032873376623384</v>
      </c>
      <c r="E19" s="72">
        <f t="shared" si="1"/>
        <v>0.83744019138755976</v>
      </c>
      <c r="F19" s="72" t="str">
        <f t="shared" si="1"/>
        <v>--</v>
      </c>
      <c r="G19" s="72" t="str">
        <f t="shared" si="1"/>
        <v>--</v>
      </c>
      <c r="H19" s="72" t="str">
        <f t="shared" si="1"/>
        <v>--</v>
      </c>
      <c r="I19" s="72" t="str">
        <f t="shared" si="1"/>
        <v>--</v>
      </c>
      <c r="J19" s="73">
        <f t="shared" si="1"/>
        <v>0.66366480235093384</v>
      </c>
    </row>
    <row r="20" spans="2:10" ht="15" customHeight="1" x14ac:dyDescent="0.25">
      <c r="B20" s="71" t="s">
        <v>9</v>
      </c>
      <c r="C20" s="72">
        <f t="shared" ref="C20:J27" si="2">IF(AND(($D5&gt;0),(D5&gt;0)), (D5/$D5),"--")</f>
        <v>1</v>
      </c>
      <c r="D20" s="72">
        <f t="shared" si="2"/>
        <v>4.4228015498652287</v>
      </c>
      <c r="E20" s="72" t="str">
        <f t="shared" si="2"/>
        <v>--</v>
      </c>
      <c r="F20" s="72" t="str">
        <f t="shared" si="2"/>
        <v>--</v>
      </c>
      <c r="G20" s="72" t="str">
        <f t="shared" si="2"/>
        <v>--</v>
      </c>
      <c r="H20" s="72" t="str">
        <f t="shared" si="2"/>
        <v>--</v>
      </c>
      <c r="I20" s="72" t="str">
        <f t="shared" si="2"/>
        <v>--</v>
      </c>
      <c r="J20" s="73">
        <f t="shared" si="2"/>
        <v>2.4104806500482021</v>
      </c>
    </row>
    <row r="21" spans="2:10" ht="15" customHeight="1" x14ac:dyDescent="0.25">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x14ac:dyDescent="0.25">
      <c r="B22" s="71" t="s">
        <v>11</v>
      </c>
      <c r="C22" s="72">
        <f t="shared" si="2"/>
        <v>1</v>
      </c>
      <c r="D22" s="72">
        <f t="shared" si="2"/>
        <v>23.440848214285712</v>
      </c>
      <c r="E22" s="72" t="str">
        <f t="shared" si="2"/>
        <v>--</v>
      </c>
      <c r="F22" s="72" t="str">
        <f t="shared" si="2"/>
        <v>--</v>
      </c>
      <c r="G22" s="72" t="str">
        <f t="shared" si="2"/>
        <v>--</v>
      </c>
      <c r="H22" s="72" t="str">
        <f t="shared" si="2"/>
        <v>--</v>
      </c>
      <c r="I22" s="72" t="str">
        <f t="shared" si="2"/>
        <v>--</v>
      </c>
      <c r="J22" s="73">
        <f t="shared" si="2"/>
        <v>10.950469238790406</v>
      </c>
    </row>
    <row r="23" spans="2:10" ht="15" customHeight="1" x14ac:dyDescent="0.25">
      <c r="B23" s="71" t="s">
        <v>95</v>
      </c>
      <c r="C23" s="72">
        <f t="shared" si="2"/>
        <v>1</v>
      </c>
      <c r="D23" s="72">
        <f t="shared" si="2"/>
        <v>4.0251961580086579</v>
      </c>
      <c r="E23" s="72" t="str">
        <f t="shared" si="2"/>
        <v>--</v>
      </c>
      <c r="F23" s="72" t="str">
        <f t="shared" si="2"/>
        <v>--</v>
      </c>
      <c r="G23" s="72" t="str">
        <f t="shared" si="2"/>
        <v>--</v>
      </c>
      <c r="H23" s="72" t="str">
        <f t="shared" si="2"/>
        <v>--</v>
      </c>
      <c r="I23" s="72" t="str">
        <f t="shared" si="2"/>
        <v>--</v>
      </c>
      <c r="J23" s="73">
        <f t="shared" si="2"/>
        <v>2.1016052074446234</v>
      </c>
    </row>
    <row r="24" spans="2:10" ht="15" customHeight="1" x14ac:dyDescent="0.25">
      <c r="B24" s="71" t="s">
        <v>13</v>
      </c>
      <c r="C24" s="72">
        <f t="shared" si="2"/>
        <v>1</v>
      </c>
      <c r="D24" s="72">
        <f t="shared" si="2"/>
        <v>3.906808035714286</v>
      </c>
      <c r="E24" s="72" t="str">
        <f t="shared" si="2"/>
        <v>--</v>
      </c>
      <c r="F24" s="72" t="str">
        <f t="shared" si="2"/>
        <v>--</v>
      </c>
      <c r="G24" s="72" t="str">
        <f t="shared" si="2"/>
        <v>--</v>
      </c>
      <c r="H24" s="72" t="str">
        <f t="shared" si="2"/>
        <v>--</v>
      </c>
      <c r="I24" s="72" t="str">
        <f t="shared" si="2"/>
        <v>--</v>
      </c>
      <c r="J24" s="73">
        <f t="shared" si="2"/>
        <v>2.0858036645315061</v>
      </c>
    </row>
    <row r="25" spans="2:10" ht="15" customHeight="1" x14ac:dyDescent="0.25">
      <c r="B25" s="71" t="s">
        <v>14</v>
      </c>
      <c r="C25" s="72">
        <f t="shared" si="2"/>
        <v>1</v>
      </c>
      <c r="D25" s="72">
        <f t="shared" si="2"/>
        <v>2.0257523148148149</v>
      </c>
      <c r="E25" s="72" t="str">
        <f t="shared" si="2"/>
        <v>--</v>
      </c>
      <c r="F25" s="72" t="str">
        <f t="shared" si="2"/>
        <v>--</v>
      </c>
      <c r="G25" s="72" t="str">
        <f t="shared" si="2"/>
        <v>--</v>
      </c>
      <c r="H25" s="72" t="str">
        <f t="shared" si="2"/>
        <v>--</v>
      </c>
      <c r="I25" s="72" t="str">
        <f t="shared" si="2"/>
        <v>--</v>
      </c>
      <c r="J25" s="73">
        <f t="shared" si="2"/>
        <v>1.4871007608233886</v>
      </c>
    </row>
    <row r="26" spans="2:10" ht="25.5" customHeight="1" x14ac:dyDescent="0.25">
      <c r="B26" s="71" t="s">
        <v>15</v>
      </c>
      <c r="C26" s="72">
        <f t="shared" si="2"/>
        <v>1</v>
      </c>
      <c r="D26" s="72">
        <f t="shared" si="2"/>
        <v>18.231770833333336</v>
      </c>
      <c r="E26" s="72" t="str">
        <f t="shared" si="2"/>
        <v>--</v>
      </c>
      <c r="F26" s="72" t="str">
        <f t="shared" si="2"/>
        <v>--</v>
      </c>
      <c r="G26" s="72" t="str">
        <f t="shared" si="2"/>
        <v>--</v>
      </c>
      <c r="H26" s="72" t="str">
        <f t="shared" si="2"/>
        <v>--</v>
      </c>
      <c r="I26" s="72" t="str">
        <f t="shared" si="2"/>
        <v>--</v>
      </c>
      <c r="J26" s="73">
        <f t="shared" si="2"/>
        <v>12.167188043100452</v>
      </c>
    </row>
    <row r="27" spans="2:10" ht="15" customHeight="1" x14ac:dyDescent="0.25">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x14ac:dyDescent="0.25">
      <c r="B28" s="85" t="s">
        <v>96</v>
      </c>
      <c r="C28" s="86"/>
      <c r="D28" s="87" t="str">
        <f>Summary!C16</f>
        <v>Yes</v>
      </c>
      <c r="E28" s="87" t="str">
        <f>Summary!D16</f>
        <v>Yes</v>
      </c>
      <c r="F28" s="87" t="str">
        <f>Summary!E16</f>
        <v>Yes</v>
      </c>
      <c r="G28" s="87" t="str">
        <f>Summary!F16</f>
        <v>No</v>
      </c>
      <c r="H28" s="87" t="str">
        <f>Summary!G16</f>
        <v>No</v>
      </c>
      <c r="I28" s="87" t="str">
        <f>Summary!H16</f>
        <v>No</v>
      </c>
      <c r="J28" s="88"/>
    </row>
    <row r="29" spans="2:10" ht="15" customHeight="1" x14ac:dyDescent="0.25">
      <c r="B29" s="66"/>
      <c r="C29" s="1"/>
      <c r="D29" s="1"/>
      <c r="E29" s="1"/>
      <c r="F29" s="1"/>
      <c r="G29" s="1"/>
      <c r="H29" s="1"/>
      <c r="I29" s="1"/>
      <c r="J29" s="67"/>
    </row>
    <row r="30" spans="2:10" ht="15.75" customHeight="1" x14ac:dyDescent="0.25">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x14ac:dyDescent="0.25"/>
  <cols>
    <col min="1" max="1" width="33.140625" style="1" customWidth="1"/>
  </cols>
  <sheetData>
    <row r="3" spans="1:10" ht="15" customHeight="1" x14ac:dyDescent="0.2">
      <c r="A3" s="48" t="s">
        <v>99</v>
      </c>
    </row>
    <row r="4" spans="1:10" ht="103.5" customHeight="1" x14ac:dyDescent="0.25">
      <c r="A4" s="216" t="s">
        <v>100</v>
      </c>
      <c r="B4" s="216"/>
      <c r="C4" s="216"/>
      <c r="D4" s="216"/>
      <c r="E4" s="216"/>
      <c r="F4" s="216"/>
      <c r="G4" s="216"/>
      <c r="H4" s="216"/>
      <c r="I4" s="216"/>
      <c r="J4" s="216"/>
    </row>
    <row r="6" spans="1:10" ht="15" customHeight="1" x14ac:dyDescent="0.25">
      <c r="A6" s="1" t="s">
        <v>101</v>
      </c>
      <c r="B6" s="1">
        <v>0.05</v>
      </c>
    </row>
    <row r="7" spans="1:10" ht="15" hidden="1" customHeight="1" x14ac:dyDescent="0.25">
      <c r="D7" s="21">
        <f>IF(B6=0.01,6.636,IF(B6=0.1,2.706,3.841))</f>
        <v>3.8410000000000002</v>
      </c>
      <c r="E7" s="21" t="s">
        <v>102</v>
      </c>
      <c r="F7" s="21"/>
    </row>
    <row r="8" spans="1:10" ht="15" customHeight="1" x14ac:dyDescent="0.25">
      <c r="D8" s="21"/>
      <c r="E8" s="21"/>
      <c r="F8" s="21"/>
    </row>
    <row r="9" spans="1:10" ht="15.75" customHeight="1" x14ac:dyDescent="0.25">
      <c r="A9" s="89" t="s">
        <v>103</v>
      </c>
    </row>
    <row r="10" spans="1:10" ht="85.5" customHeight="1" x14ac:dyDescent="0.25">
      <c r="A10" s="215" t="s">
        <v>104</v>
      </c>
      <c r="B10" s="215"/>
      <c r="C10" s="215"/>
      <c r="D10" s="215"/>
      <c r="E10" s="215"/>
      <c r="F10" s="215"/>
      <c r="G10" s="215"/>
      <c r="H10" s="215"/>
      <c r="I10" s="215"/>
      <c r="J10" s="215"/>
    </row>
    <row r="11" spans="1:10" ht="15.75" customHeight="1" x14ac:dyDescent="0.25">
      <c r="A11" s="90"/>
    </row>
    <row r="12" spans="1:10" ht="15.75" customHeight="1" x14ac:dyDescent="0.25">
      <c r="A12" s="90" t="s">
        <v>105</v>
      </c>
      <c r="B12" s="57">
        <v>5</v>
      </c>
    </row>
    <row r="13" spans="1:10" ht="15.75" customHeight="1" x14ac:dyDescent="0.25">
      <c r="A13" s="90" t="s">
        <v>106</v>
      </c>
      <c r="B13" s="57">
        <v>30</v>
      </c>
    </row>
    <row r="14" spans="1:10" ht="15.75" customHeight="1" x14ac:dyDescent="0.25">
      <c r="A14" s="17"/>
    </row>
    <row r="15" spans="1:10" ht="15.75" customHeight="1" x14ac:dyDescent="0.25">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x14ac:dyDescent="0.25"/>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x14ac:dyDescent="0.3"/>
    <row r="2" spans="2:26" ht="27" thickTop="1" thickBot="1" x14ac:dyDescent="0.3">
      <c r="B2" s="172" t="s">
        <v>121</v>
      </c>
      <c r="C2" s="173"/>
      <c r="D2" s="173"/>
      <c r="E2" s="173"/>
      <c r="F2" s="173"/>
      <c r="G2" s="173"/>
      <c r="H2" s="173"/>
      <c r="I2" s="173"/>
      <c r="J2" s="173"/>
      <c r="K2" s="173"/>
      <c r="L2" s="173"/>
      <c r="M2" s="173"/>
      <c r="N2" s="173"/>
      <c r="O2" s="173"/>
      <c r="P2" s="173"/>
      <c r="Q2" s="174"/>
    </row>
    <row r="3" spans="2:26" s="1" customFormat="1" ht="19.5" thickTop="1" x14ac:dyDescent="0.35">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x14ac:dyDescent="0.4">
      <c r="B4" s="101" t="str">
        <f>'Data Entry'!A3</f>
        <v>County: Eaton</v>
      </c>
      <c r="C4" s="102"/>
      <c r="D4" s="102"/>
      <c r="E4" s="102"/>
      <c r="F4" s="102"/>
      <c r="G4" s="102"/>
      <c r="H4" s="102"/>
      <c r="I4" s="102"/>
      <c r="J4" s="102"/>
      <c r="K4" s="102"/>
      <c r="L4" s="102"/>
      <c r="M4" s="102"/>
      <c r="N4" s="177" t="str">
        <f>'Data Entry'!C4</f>
        <v>10/1/20 through 9/30/21</v>
      </c>
      <c r="O4" s="178"/>
      <c r="P4" s="178"/>
      <c r="Q4" s="179"/>
      <c r="R4"/>
    </row>
    <row r="5" spans="2:26" s="8" customFormat="1" ht="71.25" customHeight="1" x14ac:dyDescent="0.35">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x14ac:dyDescent="0.35">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x14ac:dyDescent="0.3">
      <c r="B7" s="143" t="str">
        <f>'Data Entry'!A6</f>
        <v xml:space="preserve">1. Population at Risk (age 10 through 16) </v>
      </c>
      <c r="C7" s="103">
        <f>'Data Entry'!C6</f>
        <v>7001</v>
      </c>
      <c r="D7" s="104">
        <f>'Data Entry'!D6</f>
        <v>896</v>
      </c>
      <c r="E7" s="105"/>
      <c r="F7" s="106">
        <f>'Data Entry'!E6</f>
        <v>760</v>
      </c>
      <c r="G7" s="105"/>
      <c r="H7" s="106">
        <f>'Data Entry'!F6</f>
        <v>221</v>
      </c>
      <c r="I7" s="105"/>
      <c r="J7" s="106">
        <f>'Data Entry'!G6</f>
        <v>0</v>
      </c>
      <c r="K7" s="105"/>
      <c r="L7" s="106">
        <f>'Data Entry'!H6</f>
        <v>41</v>
      </c>
      <c r="M7" s="105"/>
      <c r="N7" s="106">
        <f>'Data Entry'!I6</f>
        <v>0</v>
      </c>
      <c r="O7" s="105"/>
      <c r="P7" s="106">
        <f>'Data Entry'!J6</f>
        <v>1918</v>
      </c>
      <c r="Q7" s="107"/>
    </row>
    <row r="8" spans="2:26" s="1" customFormat="1" ht="15" customHeight="1" x14ac:dyDescent="0.3">
      <c r="B8" s="142" t="s">
        <v>8</v>
      </c>
      <c r="C8" s="103">
        <f>'Data Entry'!C7</f>
        <v>11</v>
      </c>
      <c r="D8" s="104">
        <f>'Data Entry'!D7</f>
        <v>1</v>
      </c>
      <c r="E8" s="105" t="str">
        <f>'Black or African-American'!$G7</f>
        <v>**</v>
      </c>
      <c r="F8" s="106">
        <f>'Data Entry'!E7</f>
        <v>1</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2</v>
      </c>
      <c r="Q8" s="107" t="str">
        <f>'All Minorities'!G7</f>
        <v>**</v>
      </c>
      <c r="R8"/>
      <c r="T8" s="1">
        <f>'Black or African-American'!L7</f>
        <v>40</v>
      </c>
      <c r="U8" s="1">
        <f>Hispanic!L7</f>
        <v>40</v>
      </c>
      <c r="V8" s="1">
        <f>Asian!L7</f>
        <v>40</v>
      </c>
      <c r="W8" s="1" t="e">
        <f>Hawaiian!L7</f>
        <v>#VALUE!</v>
      </c>
      <c r="X8" s="1">
        <f>'Am Indian'!L7</f>
        <v>139</v>
      </c>
      <c r="Y8" s="1" t="e">
        <f>'Other - Mixed'!L7</f>
        <v>#VALUE!</v>
      </c>
      <c r="Z8" s="1">
        <f>'All Minorities'!L7</f>
        <v>40</v>
      </c>
    </row>
    <row r="9" spans="2:26" s="1" customFormat="1" ht="15" customHeight="1" x14ac:dyDescent="0.3">
      <c r="B9" s="142" t="s">
        <v>134</v>
      </c>
      <c r="C9" s="103">
        <f>'Data Entry'!C8</f>
        <v>53</v>
      </c>
      <c r="D9" s="108">
        <f>'Data Entry'!D8</f>
        <v>30</v>
      </c>
      <c r="E9" s="109" t="str">
        <f>'Black or African-American'!$G8</f>
        <v>**</v>
      </c>
      <c r="F9" s="110">
        <f>'Data Entry'!E8</f>
        <v>0</v>
      </c>
      <c r="G9" s="109" t="str">
        <f>Hispanic!G8</f>
        <v>**</v>
      </c>
      <c r="H9" s="110">
        <f>'Data Entry'!F8</f>
        <v>0</v>
      </c>
      <c r="I9" s="109" t="str">
        <f>Asian!G8</f>
        <v>**</v>
      </c>
      <c r="J9" s="110">
        <f>'Data Entry'!G8</f>
        <v>0</v>
      </c>
      <c r="K9" s="109" t="str">
        <f>Hawaiian!G8</f>
        <v>*</v>
      </c>
      <c r="L9" s="110">
        <f>'Data Entry'!H8</f>
        <v>0</v>
      </c>
      <c r="M9" s="109" t="str">
        <f>'Am Indian'!G8</f>
        <v>*</v>
      </c>
      <c r="N9" s="110">
        <f>'Data Entry'!I8</f>
        <v>5</v>
      </c>
      <c r="O9" s="109" t="str">
        <f>'Other - Mixed'!G8</f>
        <v>*</v>
      </c>
      <c r="P9" s="110">
        <f>'Data Entry'!J8</f>
        <v>35</v>
      </c>
      <c r="Q9" s="111" t="str">
        <f>'All Minorities'!G8</f>
        <v>**</v>
      </c>
      <c r="R9"/>
      <c r="T9" s="1">
        <f>'Black or African-American'!L8</f>
        <v>20</v>
      </c>
      <c r="U9" s="1">
        <f>Hispanic!L8</f>
        <v>40</v>
      </c>
      <c r="V9" s="1">
        <f>Asian!L8</f>
        <v>40</v>
      </c>
      <c r="W9" s="1">
        <f>Hawaiian!L8</f>
        <v>139</v>
      </c>
      <c r="X9" s="1">
        <f>'Am Indian'!L8</f>
        <v>139</v>
      </c>
      <c r="Y9" s="1">
        <f>'Other - Mixed'!L8</f>
        <v>119</v>
      </c>
      <c r="Z9" s="1">
        <f>'All Minorities'!L8</f>
        <v>20</v>
      </c>
    </row>
    <row r="10" spans="2:26" s="1" customFormat="1" ht="15" customHeight="1" x14ac:dyDescent="0.3">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x14ac:dyDescent="0.3">
      <c r="B11" s="142" t="s">
        <v>11</v>
      </c>
      <c r="C11" s="103">
        <f>'Data Entry'!C10</f>
        <v>1</v>
      </c>
      <c r="D11" s="108">
        <f>'Data Entry'!D10</f>
        <v>3</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3</v>
      </c>
      <c r="Q11" s="111" t="str">
        <f>'All Minorities'!G10</f>
        <v>**</v>
      </c>
      <c r="R11"/>
      <c r="T11" s="1">
        <f>'Black or African-American'!L10</f>
        <v>40</v>
      </c>
      <c r="U11" s="1" t="e">
        <f>Hispanic!L10</f>
        <v>#VALUE!</v>
      </c>
      <c r="V11" s="1" t="e">
        <f>Asian!L10</f>
        <v>#VALUE!</v>
      </c>
      <c r="W11" s="1" t="e">
        <f>Hawaiian!L10</f>
        <v>#VALUE!</v>
      </c>
      <c r="X11" s="1" t="e">
        <f>'Am Indian'!L10</f>
        <v>#VALUE!</v>
      </c>
      <c r="Y11" s="1">
        <f>'Other - Mixed'!L10</f>
        <v>139</v>
      </c>
      <c r="Z11" s="1">
        <f>'All Minorities'!L10</f>
        <v>40</v>
      </c>
    </row>
    <row r="12" spans="2:26" s="1" customFormat="1" ht="15" customHeight="1" x14ac:dyDescent="0.3">
      <c r="B12" s="142" t="s">
        <v>95</v>
      </c>
      <c r="C12" s="103">
        <f>'Data Entry'!C11</f>
        <v>33</v>
      </c>
      <c r="D12" s="112">
        <f>'Data Entry'!D11</f>
        <v>17</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2</v>
      </c>
      <c r="O12" s="113" t="str">
        <f>'Other - Mixed'!G11</f>
        <v>*</v>
      </c>
      <c r="P12" s="114">
        <f>'Data Entry'!J11</f>
        <v>19</v>
      </c>
      <c r="Q12" s="115">
        <f>'All Minorities'!G11</f>
        <v>0.871861471861472</v>
      </c>
      <c r="R12"/>
      <c r="T12" s="1">
        <f>'Black or African-American'!L11</f>
        <v>40</v>
      </c>
      <c r="U12" s="1" t="e">
        <f>Hispanic!L11</f>
        <v>#VALUE!</v>
      </c>
      <c r="V12" s="1" t="e">
        <f>Asian!L11</f>
        <v>#VALUE!</v>
      </c>
      <c r="W12" s="1" t="e">
        <f>Hawaiian!L11</f>
        <v>#VALUE!</v>
      </c>
      <c r="X12" s="1" t="e">
        <f>'Am Indian'!L11</f>
        <v>#VALUE!</v>
      </c>
      <c r="Y12" s="1">
        <f>'Other - Mixed'!L11</f>
        <v>139</v>
      </c>
      <c r="Z12" s="1">
        <f>'All Minorities'!L11</f>
        <v>2</v>
      </c>
    </row>
    <row r="13" spans="2:26" s="1" customFormat="1" ht="15" customHeight="1" x14ac:dyDescent="0.3">
      <c r="B13" s="142" t="s">
        <v>13</v>
      </c>
      <c r="C13" s="103">
        <f>'Data Entry'!C12</f>
        <v>28</v>
      </c>
      <c r="D13" s="108">
        <f>'Data Entry'!D12</f>
        <v>14</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2</v>
      </c>
      <c r="O13" s="109" t="str">
        <f>'Other - Mixed'!G12</f>
        <v>*</v>
      </c>
      <c r="P13" s="110">
        <f>'Data Entry'!J12</f>
        <v>16</v>
      </c>
      <c r="Q13" s="111" t="str">
        <f>'All Minorities'!G12</f>
        <v>**</v>
      </c>
      <c r="R13"/>
      <c r="T13" s="1">
        <f>'Black or African-American'!L12</f>
        <v>40</v>
      </c>
      <c r="U13" s="1" t="e">
        <f>Hispanic!L12</f>
        <v>#VALUE!</v>
      </c>
      <c r="V13" s="1" t="e">
        <f>Asian!L12</f>
        <v>#VALUE!</v>
      </c>
      <c r="W13" s="1" t="e">
        <f>Hawaiian!L12</f>
        <v>#VALUE!</v>
      </c>
      <c r="X13" s="1" t="e">
        <f>'Am Indian'!L12</f>
        <v>#VALUE!</v>
      </c>
      <c r="Y13" s="1">
        <f>'Other - Mixed'!L12</f>
        <v>139</v>
      </c>
      <c r="Z13" s="1">
        <f>'All Minorities'!L12</f>
        <v>40</v>
      </c>
    </row>
    <row r="14" spans="2:26" s="1" customFormat="1" ht="15" customHeight="1" x14ac:dyDescent="0.3">
      <c r="B14" s="142" t="s">
        <v>133</v>
      </c>
      <c r="C14" s="103">
        <f>'Data Entry'!C13</f>
        <v>27</v>
      </c>
      <c r="D14" s="112">
        <f>'Data Entry'!D13</f>
        <v>7</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4</v>
      </c>
      <c r="O14" s="113" t="str">
        <f>'Other - Mixed'!G13</f>
        <v>*</v>
      </c>
      <c r="P14" s="114">
        <f>'Data Entry'!J13</f>
        <v>11</v>
      </c>
      <c r="Q14" s="115" t="str">
        <f>'All Minorities'!G13</f>
        <v>**</v>
      </c>
      <c r="R14"/>
      <c r="T14" s="1">
        <f>'Black or African-American'!L13</f>
        <v>20</v>
      </c>
      <c r="U14" s="1" t="e">
        <f>Hispanic!L13</f>
        <v>#VALUE!</v>
      </c>
      <c r="V14" s="1" t="e">
        <f>Asian!L13</f>
        <v>#VALUE!</v>
      </c>
      <c r="W14" s="1" t="e">
        <f>Hawaiian!L13</f>
        <v>#VALUE!</v>
      </c>
      <c r="X14" s="1" t="e">
        <f>'Am Indian'!L13</f>
        <v>#VALUE!</v>
      </c>
      <c r="Y14" s="1">
        <f>'Other - Mixed'!L13</f>
        <v>119</v>
      </c>
      <c r="Z14" s="1">
        <f>'All Minorities'!L13</f>
        <v>20</v>
      </c>
    </row>
    <row r="15" spans="2:26" s="1" customFormat="1" ht="33" x14ac:dyDescent="0.3">
      <c r="B15" s="144" t="s">
        <v>123</v>
      </c>
      <c r="C15" s="103">
        <f>'Data Entry'!C14</f>
        <v>3</v>
      </c>
      <c r="D15" s="108">
        <f>'Data Entry'!D14</f>
        <v>7</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3</v>
      </c>
      <c r="O15" s="109" t="str">
        <f>'Other - Mixed'!G14</f>
        <v>*</v>
      </c>
      <c r="P15" s="110">
        <f>'Data Entry'!J14</f>
        <v>10</v>
      </c>
      <c r="Q15" s="111" t="str">
        <f>'All Minorities'!G14</f>
        <v>**</v>
      </c>
      <c r="R15"/>
      <c r="T15" s="1">
        <f>'Black or African-American'!L14</f>
        <v>20</v>
      </c>
      <c r="U15" s="1" t="e">
        <f>Hispanic!L14</f>
        <v>#VALUE!</v>
      </c>
      <c r="V15" s="1" t="e">
        <f>Asian!L14</f>
        <v>#VALUE!</v>
      </c>
      <c r="W15" s="1" t="e">
        <f>Hawaiian!L14</f>
        <v>#VALUE!</v>
      </c>
      <c r="X15" s="1" t="e">
        <f>'Am Indian'!L14</f>
        <v>#VALUE!</v>
      </c>
      <c r="Y15" s="1">
        <f>'Other - Mixed'!L14</f>
        <v>119</v>
      </c>
      <c r="Z15" s="1">
        <f>'All Minorities'!L14</f>
        <v>20</v>
      </c>
    </row>
    <row r="16" spans="2:26" s="1" customFormat="1" ht="15" customHeight="1" x14ac:dyDescent="0.3">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x14ac:dyDescent="0.4">
      <c r="B17" s="145" t="s">
        <v>96</v>
      </c>
      <c r="C17" s="98" t="str">
        <f>'Data Entry'!C16</f>
        <v>Yes</v>
      </c>
      <c r="D17" s="129"/>
      <c r="E17" s="139" t="str">
        <f>'Data Entry'!$D$16</f>
        <v>Yes</v>
      </c>
      <c r="F17" s="129"/>
      <c r="G17" s="139" t="str">
        <f>'Data Entry'!$E$16</f>
        <v>Yes</v>
      </c>
      <c r="H17" s="129"/>
      <c r="I17" s="139" t="str">
        <f>'Data Entry'!F16</f>
        <v>Yes</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x14ac:dyDescent="0.35">
      <c r="B18" s="93"/>
      <c r="C18" s="93"/>
      <c r="D18" s="93"/>
      <c r="E18" s="93"/>
      <c r="F18" s="93"/>
      <c r="G18" s="93"/>
      <c r="H18" s="93"/>
      <c r="I18" s="93"/>
      <c r="J18" s="93"/>
      <c r="K18" s="93"/>
      <c r="L18" s="93"/>
      <c r="M18" s="93"/>
      <c r="N18" s="93"/>
      <c r="O18" s="93"/>
      <c r="P18" s="93"/>
      <c r="Q18" s="93"/>
    </row>
    <row r="19" spans="2:18" ht="18" customHeight="1" thickBot="1" x14ac:dyDescent="0.4">
      <c r="B19" s="94"/>
      <c r="C19" s="130"/>
      <c r="D19" s="131"/>
      <c r="E19" s="131"/>
      <c r="F19" s="131"/>
      <c r="G19" s="131"/>
      <c r="H19" s="133" t="s">
        <v>128</v>
      </c>
      <c r="I19" s="134" t="s">
        <v>51</v>
      </c>
      <c r="J19" s="131"/>
      <c r="K19" s="131"/>
      <c r="L19" s="131"/>
      <c r="M19" s="131"/>
      <c r="N19" s="131"/>
      <c r="O19" s="132"/>
      <c r="P19" s="93"/>
      <c r="Q19" s="93"/>
    </row>
    <row r="20" spans="2:18" ht="16.5" x14ac:dyDescent="0.3">
      <c r="B20" s="93"/>
      <c r="C20" s="153" t="s">
        <v>125</v>
      </c>
      <c r="D20" s="159"/>
      <c r="E20" s="160"/>
      <c r="F20" s="161"/>
      <c r="G20" s="162" t="s">
        <v>53</v>
      </c>
      <c r="H20" s="159"/>
      <c r="I20" s="153" t="s">
        <v>56</v>
      </c>
      <c r="J20" s="159"/>
      <c r="K20" s="159"/>
      <c r="L20" s="159"/>
      <c r="M20" s="159"/>
      <c r="N20" s="159"/>
      <c r="O20" s="154" t="s">
        <v>57</v>
      </c>
      <c r="Q20" s="93"/>
    </row>
    <row r="21" spans="2:18" ht="15" customHeight="1" x14ac:dyDescent="0.3">
      <c r="B21" s="93"/>
      <c r="C21" s="155" t="s">
        <v>127</v>
      </c>
      <c r="D21" s="159"/>
      <c r="E21" s="163"/>
      <c r="F21" s="159"/>
      <c r="G21" s="164" t="s">
        <v>55</v>
      </c>
      <c r="H21" s="159"/>
      <c r="I21" s="155" t="s">
        <v>58</v>
      </c>
      <c r="J21" s="159"/>
      <c r="K21" s="159"/>
      <c r="L21" s="159"/>
      <c r="M21" s="159"/>
      <c r="N21" s="159"/>
      <c r="O21" s="156" t="s">
        <v>59</v>
      </c>
      <c r="Q21" s="93"/>
    </row>
    <row r="22" spans="2:18" ht="15" customHeight="1" thickBot="1" x14ac:dyDescent="0.35">
      <c r="B22" s="93"/>
      <c r="C22" s="165"/>
      <c r="D22" s="166"/>
      <c r="E22" s="166"/>
      <c r="F22" s="166"/>
      <c r="G22" s="166"/>
      <c r="H22" s="166"/>
      <c r="I22" s="167" t="s">
        <v>60</v>
      </c>
      <c r="J22" s="166"/>
      <c r="K22" s="166"/>
      <c r="L22" s="166"/>
      <c r="M22" s="166"/>
      <c r="N22" s="166"/>
      <c r="O22" s="157" t="s">
        <v>61</v>
      </c>
      <c r="Q22" s="93"/>
    </row>
    <row r="23" spans="2:18" ht="15" customHeight="1" x14ac:dyDescent="0.3">
      <c r="B23" s="93"/>
      <c r="C23" s="93"/>
      <c r="D23" s="93"/>
      <c r="E23"/>
      <c r="F23"/>
      <c r="G23"/>
      <c r="H23"/>
      <c r="K23"/>
      <c r="L23"/>
      <c r="M23" s="93"/>
      <c r="N23" s="93"/>
      <c r="O23" s="93"/>
      <c r="P23" s="93"/>
      <c r="Q23" s="93"/>
    </row>
    <row r="24" spans="2:18" ht="15" customHeight="1" x14ac:dyDescent="0.3">
      <c r="B24" s="93"/>
      <c r="C24" s="93"/>
      <c r="D24" s="93"/>
      <c r="E24"/>
      <c r="F24"/>
      <c r="G24"/>
      <c r="H24"/>
      <c r="K24"/>
      <c r="L24"/>
      <c r="M24" s="93"/>
      <c r="N24" s="93"/>
      <c r="O24" s="93"/>
      <c r="P24" s="93"/>
      <c r="Q24" s="93"/>
    </row>
    <row r="25" spans="2:18" ht="15" customHeight="1" x14ac:dyDescent="0.25">
      <c r="B25" s="1" t="str">
        <f>'Data Entry'!A18</f>
        <v>5. DATA SOURCES &amp; NOTES</v>
      </c>
    </row>
    <row r="26" spans="2:18"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6"/>
      <c r="J26" s="96"/>
    </row>
    <row r="27" spans="2:18" ht="12.75" customHeight="1" x14ac:dyDescent="0.25">
      <c r="B27" s="1" t="str">
        <f>'Data Entry'!A20</f>
        <v>Item 3.Referral: State Court Administrative Office</v>
      </c>
      <c r="E27" s="1" t="str">
        <f>'Data Entry'!D20</f>
        <v>Item 4.Diversion: State Court Administrative Office</v>
      </c>
      <c r="I27" s="96"/>
      <c r="J27" s="96"/>
    </row>
    <row r="28" spans="2:18" ht="12.75" customHeight="1" x14ac:dyDescent="0.25">
      <c r="B28" s="1" t="str">
        <f>'Data Entry'!A21</f>
        <v>Item 5.Detention: State Court Administrative Office</v>
      </c>
      <c r="E28" s="1" t="str">
        <f>'Data Entry'!D21</f>
        <v>Item 6.Petitioned: State Court Administrative Office</v>
      </c>
      <c r="I28" s="96"/>
      <c r="J28" s="96"/>
    </row>
    <row r="29" spans="2:18" ht="12.75" customHeight="1" x14ac:dyDescent="0.25">
      <c r="B29" s="1" t="str">
        <f>'Data Entry'!A22</f>
        <v>Item 7.Delinquent: State Court Administrative Office</v>
      </c>
      <c r="E29" s="1" t="str">
        <f>'Data Entry'!D22</f>
        <v>Item 8.Probation: State Court Administrative Office</v>
      </c>
      <c r="I29" s="96"/>
      <c r="J29" s="96"/>
    </row>
    <row r="30" spans="2:18" ht="12.75" customHeight="1" x14ac:dyDescent="0.25">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M8:M16">
    <cfRule type="expression" dxfId="114" priority="9" stopIfTrue="1">
      <formula>X8=1</formula>
    </cfRule>
  </conditionalFormatting>
  <conditionalFormatting sqref="G8:G16">
    <cfRule type="expression" dxfId="113" priority="10" stopIfTrue="1">
      <formula>$U8=1</formula>
    </cfRule>
  </conditionalFormatting>
  <conditionalFormatting sqref="I8:I16">
    <cfRule type="expression" dxfId="112" priority="11" stopIfTrue="1">
      <formula>$V8=1</formula>
    </cfRule>
  </conditionalFormatting>
  <conditionalFormatting sqref="K8:K16">
    <cfRule type="expression" dxfId="111" priority="12" stopIfTrue="1">
      <formula>$W8=1</formula>
    </cfRule>
  </conditionalFormatting>
  <conditionalFormatting sqref="O8:O16">
    <cfRule type="expression" dxfId="110" priority="13" stopIfTrue="1">
      <formula>$Y8=1</formula>
    </cfRule>
  </conditionalFormatting>
  <conditionalFormatting sqref="Q8:Q16">
    <cfRule type="expression" dxfId="109" priority="14" stopIfTrue="1">
      <formula>$Z8=1</formula>
    </cfRule>
  </conditionalFormatting>
  <conditionalFormatting sqref="E8:E16">
    <cfRule type="expression" dxfId="108" priority="24" stopIfTrue="1">
      <formula>T8=1</formula>
    </cfRule>
  </conditionalFormatting>
  <conditionalFormatting sqref="M7">
    <cfRule type="expression" dxfId="107" priority="1" stopIfTrue="1">
      <formula>X7=1</formula>
    </cfRule>
  </conditionalFormatting>
  <conditionalFormatting sqref="G7">
    <cfRule type="expression" dxfId="106" priority="2" stopIfTrue="1">
      <formula>$U7=1</formula>
    </cfRule>
  </conditionalFormatting>
  <conditionalFormatting sqref="I7">
    <cfRule type="expression" dxfId="105" priority="3" stopIfTrue="1">
      <formula>$V7=1</formula>
    </cfRule>
  </conditionalFormatting>
  <conditionalFormatting sqref="K7">
    <cfRule type="expression" dxfId="104" priority="4" stopIfTrue="1">
      <formula>$W7=1</formula>
    </cfRule>
  </conditionalFormatting>
  <conditionalFormatting sqref="O7">
    <cfRule type="expression" dxfId="103" priority="5" stopIfTrue="1">
      <formula>$Y7=1</formula>
    </cfRule>
  </conditionalFormatting>
  <conditionalFormatting sqref="Q7">
    <cfRule type="expression" dxfId="102" priority="6" stopIfTrue="1">
      <formula>$Z7=1</formula>
    </cfRule>
  </conditionalFormatting>
  <conditionalFormatting sqref="E7">
    <cfRule type="expression" dxfId="101" priority="7"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x14ac:dyDescent="0.2"/>
  <cols>
    <col min="1" max="1" width="36.7109375" bestFit="1" customWidth="1"/>
    <col min="2" max="2" width="23" bestFit="1" customWidth="1"/>
    <col min="9" max="9" width="10.140625" bestFit="1" customWidth="1"/>
    <col min="11" max="11" width="22.42578125" customWidth="1"/>
  </cols>
  <sheetData>
    <row r="5" spans="1:12" x14ac:dyDescent="0.2">
      <c r="A5" s="96" t="str">
        <f>'Data Entry'!A3</f>
        <v>County: Eaton</v>
      </c>
    </row>
    <row r="6" spans="1:12" x14ac:dyDescent="0.2">
      <c r="A6" s="135" t="str">
        <f>CONCATENATE("Percentage of Minorities at Stages of the Juvenile Justice System, ", A5, " 2021")</f>
        <v>Percentage of Minorities at Stages of the Juvenile Justice System, County: Eaton 2021</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x14ac:dyDescent="0.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3.6501564129301358</v>
      </c>
    </row>
    <row r="8" spans="1:12" ht="25.5" customHeight="1" x14ac:dyDescent="0.2">
      <c r="A8" s="151" t="str">
        <f>CONCATENATE("Confinement, total N=", 'Data Entry'!B14)</f>
        <v>Confinement, total N=14</v>
      </c>
      <c r="B8" s="150">
        <f>'Data Entry'!D14/'Data Entry'!B14</f>
        <v>0.5</v>
      </c>
      <c r="C8" s="150">
        <f>'Data Entry'!E14/'Data Entry'!B14</f>
        <v>0</v>
      </c>
      <c r="D8" s="150">
        <f>'Data Entry'!F14/'Data Entry'!B14</f>
        <v>0</v>
      </c>
      <c r="E8" s="150">
        <f>'Data Entry'!G14/'Data Entry'!B14</f>
        <v>0</v>
      </c>
      <c r="F8" s="150">
        <f>'Data Entry'!H14/'Data Entry'!B14</f>
        <v>0</v>
      </c>
      <c r="G8" s="150">
        <f>'Data Entry'!I14/'Data Entry'!B14</f>
        <v>0.21428571428571427</v>
      </c>
      <c r="H8" s="150">
        <f>SUM(D8:G8)/'Data Entry'!B14</f>
        <v>1.5306122448979591E-2</v>
      </c>
      <c r="I8" s="150">
        <f>'Data Entry'!C14/'Data Entry'!B14</f>
        <v>0.21428571428571427</v>
      </c>
      <c r="K8" s="96" t="str">
        <f>A8</f>
        <v>Confinement, total N=14</v>
      </c>
      <c r="L8">
        <f>I14/(SUM(B14:G14))</f>
        <v>3.6501564129301358</v>
      </c>
    </row>
    <row r="9" spans="1:12" x14ac:dyDescent="0.2">
      <c r="A9" s="128" t="str">
        <f>CONCATENATE("Delinquent Findings, total N=", 'Data Entry'!B12)</f>
        <v>Delinquent Findings, total N=50</v>
      </c>
      <c r="B9" s="150">
        <f>'Data Entry'!D12/'Data Entry'!B12</f>
        <v>0.28000000000000003</v>
      </c>
      <c r="C9" s="150">
        <f>'Data Entry'!E12/'Data Entry'!B12</f>
        <v>0</v>
      </c>
      <c r="D9" s="150">
        <f>'Data Entry'!F12/'Data Entry'!B12</f>
        <v>0</v>
      </c>
      <c r="E9" s="150">
        <f>'Data Entry'!G12/'Data Entry'!B12</f>
        <v>0</v>
      </c>
      <c r="F9" s="150">
        <f>'Data Entry'!H12/'Data Entry'!B12</f>
        <v>0</v>
      </c>
      <c r="G9" s="150">
        <f>'Data Entry'!I12/'Data Entry'!B12</f>
        <v>0.04</v>
      </c>
      <c r="H9" s="150">
        <f>SUM(D9:G9)/'Data Entry'!B12</f>
        <v>8.0000000000000004E-4</v>
      </c>
      <c r="I9" s="150">
        <f>'Data Entry'!C12/'Data Entry'!B12</f>
        <v>0.56000000000000005</v>
      </c>
      <c r="K9" s="96" t="str">
        <f t="shared" si="0"/>
        <v>Delinquent Findings, total N=50</v>
      </c>
      <c r="L9">
        <f>I14/(SUM(B14:G14))</f>
        <v>3.6501564129301358</v>
      </c>
    </row>
    <row r="10" spans="1:12" x14ac:dyDescent="0.2">
      <c r="A10" s="128" t="str">
        <f>CONCATENATE("Petitions, total N=", 'Data Entry'!B11)</f>
        <v>Petitions, total N=58</v>
      </c>
      <c r="B10" s="150">
        <f>'Data Entry'!D11/'Data Entry'!B11</f>
        <v>0.29310344827586204</v>
      </c>
      <c r="C10" s="150">
        <f>'Data Entry'!E11/'Data Entry'!B11</f>
        <v>0</v>
      </c>
      <c r="D10" s="150">
        <f>'Data Entry'!F11/'Data Entry'!B11</f>
        <v>0</v>
      </c>
      <c r="E10" s="150">
        <f>'Data Entry'!G11/'Data Entry'!B11</f>
        <v>0</v>
      </c>
      <c r="F10" s="150">
        <f>'Data Entry'!H11/'Data Entry'!B11</f>
        <v>0</v>
      </c>
      <c r="G10" s="150">
        <f>'Data Entry'!I11/'Data Entry'!B11</f>
        <v>3.4482758620689655E-2</v>
      </c>
      <c r="H10" s="150">
        <f>SUM(D10:G10)/'Data Entry'!B11</f>
        <v>5.9453032104637331E-4</v>
      </c>
      <c r="I10" s="150">
        <f>'Data Entry'!C11/'Data Entry'!B11</f>
        <v>0.56896551724137934</v>
      </c>
      <c r="K10" s="96" t="str">
        <f t="shared" si="0"/>
        <v>Petitions, total N=58</v>
      </c>
      <c r="L10">
        <f>I14/(SUM(B14:G14))</f>
        <v>3.6501564129301358</v>
      </c>
    </row>
    <row r="11" spans="1:12" x14ac:dyDescent="0.2">
      <c r="A11" s="128" t="str">
        <f>CONCATENATE("Detentions, total N=", 'Data Entry'!B10)</f>
        <v>Detentions, total N=5</v>
      </c>
      <c r="B11" s="150">
        <f>'Data Entry'!D10/'Data Entry'!B10</f>
        <v>0.6</v>
      </c>
      <c r="C11" s="150">
        <f>'Data Entry'!E10/'Data Entry'!B10</f>
        <v>0</v>
      </c>
      <c r="D11" s="150">
        <f>'Data Entry'!F10/'Data Entry'!B10</f>
        <v>0</v>
      </c>
      <c r="E11" s="150">
        <f>'Data Entry'!G10/'Data Entry'!B10</f>
        <v>0</v>
      </c>
      <c r="F11" s="150">
        <f>'Data Entry'!H10/'Data Entry'!B10</f>
        <v>0</v>
      </c>
      <c r="G11" s="150">
        <f>'Data Entry'!I10/'Data Entry'!B10</f>
        <v>0</v>
      </c>
      <c r="H11" s="150">
        <f>SUM(D11:G11)/'Data Entry'!B10</f>
        <v>0</v>
      </c>
      <c r="I11" s="150">
        <f>'Data Entry'!C10/'Data Entry'!B10</f>
        <v>0.2</v>
      </c>
      <c r="K11" s="96" t="str">
        <f t="shared" si="0"/>
        <v>Detentions, total N=5</v>
      </c>
      <c r="L11">
        <f>I14/(SUM(B14:G14))</f>
        <v>3.6501564129301358</v>
      </c>
    </row>
    <row r="12" spans="1:12" x14ac:dyDescent="0.2">
      <c r="A12" s="128" t="str">
        <f>CONCATENATE("Referrals, total N=", 'Data Entry'!B8)</f>
        <v>Referrals, total N=104</v>
      </c>
      <c r="B12" s="150">
        <f>'Data Entry'!D8/'Data Entry'!B8</f>
        <v>0.28846153846153844</v>
      </c>
      <c r="C12" s="150">
        <f>'Data Entry'!E8/'Data Entry'!B8</f>
        <v>0</v>
      </c>
      <c r="D12" s="150">
        <f>'Data Entry'!F8/'Data Entry'!B8</f>
        <v>0</v>
      </c>
      <c r="E12" s="150">
        <f>'Data Entry'!G8/'Data Entry'!B8</f>
        <v>0</v>
      </c>
      <c r="F12" s="150">
        <f>'Data Entry'!H8/'Data Entry'!B8</f>
        <v>0</v>
      </c>
      <c r="G12" s="150">
        <f>'Data Entry'!I8/'Data Entry'!B8</f>
        <v>4.807692307692308E-2</v>
      </c>
      <c r="H12" s="150">
        <f>SUM(D12:G12)/'Data Entry'!B8</f>
        <v>4.6227810650887577E-4</v>
      </c>
      <c r="I12" s="150">
        <f>'Data Entry'!C8/'Data Entry'!B8</f>
        <v>0.50961538461538458</v>
      </c>
      <c r="K12" s="96" t="str">
        <f t="shared" si="0"/>
        <v>Referrals, total N=104</v>
      </c>
      <c r="L12">
        <f>I14/(SUM(B14:G14))</f>
        <v>3.6501564129301358</v>
      </c>
    </row>
    <row r="13" spans="1:12" x14ac:dyDescent="0.2">
      <c r="A13" s="128" t="str">
        <f>CONCATENATE("Arrests, total N=", 'Data Entry'!B7)</f>
        <v>Arrests, total N=13</v>
      </c>
      <c r="B13" s="150">
        <f>'Data Entry'!D7/'Data Entry'!B7</f>
        <v>7.6923076923076927E-2</v>
      </c>
      <c r="C13" s="150">
        <f>'Data Entry'!E7/'Data Entry'!B7</f>
        <v>7.6923076923076927E-2</v>
      </c>
      <c r="D13" s="150">
        <f>'Data Entry'!F7/'Data Entry'!B7</f>
        <v>0</v>
      </c>
      <c r="E13" s="150">
        <f>'Data Entry'!G7/'Data Entry'!B7</f>
        <v>0</v>
      </c>
      <c r="F13" s="150">
        <f>'Data Entry'!H7/'Data Entry'!B7</f>
        <v>0</v>
      </c>
      <c r="G13" s="150">
        <f>'Data Entry'!I7/'Data Entry'!B7</f>
        <v>0</v>
      </c>
      <c r="H13" s="150">
        <f>SUM(D13:G13)/'Data Entry'!B7</f>
        <v>0</v>
      </c>
      <c r="I13" s="150">
        <f>'Data Entry'!C7/'Data Entry'!B7</f>
        <v>0.84615384615384615</v>
      </c>
      <c r="K13" s="96" t="str">
        <f t="shared" si="0"/>
        <v>Arrests, total N=13</v>
      </c>
      <c r="L13">
        <f>I14/(SUM(B14:G14))</f>
        <v>3.6501564129301358</v>
      </c>
    </row>
    <row r="14" spans="1:12" x14ac:dyDescent="0.2">
      <c r="A14" s="128" t="str">
        <f>CONCATENATE("Population, total N=", 'Data Entry'!B6)</f>
        <v>Population, total N=8919</v>
      </c>
      <c r="B14" s="150">
        <f>'Data Entry'!D6/'Data Entry'!B6</f>
        <v>0.1004596927906716</v>
      </c>
      <c r="C14" s="150">
        <f>'Data Entry'!E6/'Data Entry'!B6</f>
        <v>8.5211346563516088E-2</v>
      </c>
      <c r="D14" s="150">
        <f>'Data Entry'!F6/'Data Entry'!B6</f>
        <v>2.4778562619127704E-2</v>
      </c>
      <c r="E14" s="150">
        <f>'Data Entry'!G6/'Data Entry'!B6</f>
        <v>0</v>
      </c>
      <c r="F14" s="150">
        <f>'Data Entry'!H6/'Data Entry'!B6</f>
        <v>4.5969279067159998E-3</v>
      </c>
      <c r="G14" s="150">
        <f>'Data Entry'!I6/'Data Entry'!B6</f>
        <v>0</v>
      </c>
      <c r="H14" s="150">
        <f>SUM(D14:G14)/'Data Entry'!B6</f>
        <v>3.2935856627249361E-6</v>
      </c>
      <c r="I14" s="150">
        <f>'Data Entry'!C6/'Data Entry'!B6</f>
        <v>0.78495347011996863</v>
      </c>
      <c r="K14" s="96" t="str">
        <f t="shared" si="0"/>
        <v>Population, total N=8919</v>
      </c>
      <c r="L14">
        <f>I14/(SUM(B14:G14))</f>
        <v>3.6501564129301358</v>
      </c>
    </row>
    <row r="15" spans="1:12" x14ac:dyDescent="0.2">
      <c r="A15" s="96"/>
    </row>
    <row r="17" spans="2:9" x14ac:dyDescent="0.2">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x14ac:dyDescent="0.25"/>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x14ac:dyDescent="0.3"/>
    <row r="2" spans="2:30" ht="27" thickTop="1" thickBot="1" x14ac:dyDescent="0.3">
      <c r="B2" s="172" t="s">
        <v>121</v>
      </c>
      <c r="C2" s="173"/>
      <c r="D2" s="173"/>
      <c r="E2" s="173"/>
      <c r="F2" s="173"/>
      <c r="G2" s="173"/>
      <c r="H2" s="173"/>
      <c r="I2" s="173"/>
      <c r="J2" s="173"/>
      <c r="K2" s="174"/>
    </row>
    <row r="3" spans="2:30" s="1" customFormat="1" ht="19.5" thickTop="1" x14ac:dyDescent="0.35">
      <c r="B3" s="97" t="str">
        <f>'Data Entry'!A2</f>
        <v>State: Michigan</v>
      </c>
      <c r="C3" s="95"/>
      <c r="D3" s="95"/>
      <c r="H3" s="205" t="str">
        <f>'Data Entry'!C3</f>
        <v xml:space="preserve">Reporting Period:  </v>
      </c>
      <c r="I3" s="206"/>
      <c r="J3" s="206"/>
      <c r="K3" s="207"/>
    </row>
    <row r="4" spans="2:30" s="1" customFormat="1" ht="19.5" thickBot="1" x14ac:dyDescent="0.4">
      <c r="B4" s="101" t="str">
        <f>'Data Entry'!A3</f>
        <v>County: Eaton</v>
      </c>
      <c r="C4" s="102"/>
      <c r="D4" s="102"/>
      <c r="E4" s="120"/>
      <c r="F4" s="120"/>
      <c r="G4" s="120"/>
      <c r="H4" s="177" t="str">
        <f>'Data Entry'!C4</f>
        <v>10/1/20 through 9/30/21</v>
      </c>
      <c r="I4" s="208"/>
      <c r="J4" s="208"/>
      <c r="K4" s="209"/>
    </row>
    <row r="5" spans="2:30" s="8" customFormat="1" ht="69" customHeight="1" x14ac:dyDescent="0.35">
      <c r="B5" s="99"/>
      <c r="C5" s="100" t="s">
        <v>3</v>
      </c>
      <c r="D5" s="202" t="str">
        <f>'Black or African-American'!$F$1</f>
        <v>Black or African American</v>
      </c>
      <c r="E5" s="203"/>
      <c r="F5" s="202" t="str">
        <f>Hispanic!F1</f>
        <v>Hispanic or Latino</v>
      </c>
      <c r="G5" s="203"/>
      <c r="H5" s="202" t="str">
        <f>Asian!F1</f>
        <v>Asian</v>
      </c>
      <c r="I5" s="203"/>
      <c r="J5" s="202" t="str">
        <f>'Data Entry'!J5</f>
        <v>All Minorities</v>
      </c>
      <c r="K5" s="204"/>
      <c r="N5" s="69"/>
      <c r="O5" s="69"/>
      <c r="P5" s="69"/>
      <c r="Q5" s="69"/>
    </row>
    <row r="6" spans="2:30" s="8" customFormat="1" ht="18" customHeight="1" x14ac:dyDescent="0.35">
      <c r="B6" s="152" t="s">
        <v>119</v>
      </c>
      <c r="C6" s="122" t="s">
        <v>117</v>
      </c>
      <c r="D6" s="123" t="s">
        <v>117</v>
      </c>
      <c r="E6" s="124" t="s">
        <v>118</v>
      </c>
      <c r="F6" s="123" t="s">
        <v>117</v>
      </c>
      <c r="G6" s="124" t="s">
        <v>118</v>
      </c>
      <c r="H6" s="123" t="s">
        <v>117</v>
      </c>
      <c r="I6" s="124" t="s">
        <v>118</v>
      </c>
      <c r="J6" s="123" t="s">
        <v>117</v>
      </c>
      <c r="K6" s="125" t="s">
        <v>118</v>
      </c>
    </row>
    <row r="7" spans="2:30" s="8" customFormat="1" ht="18" customHeight="1" x14ac:dyDescent="0.3">
      <c r="B7" s="141" t="str">
        <f>'Data Entry'!A6</f>
        <v xml:space="preserve">1. Population at Risk (age 10 through 16) </v>
      </c>
      <c r="C7" s="103">
        <f>'Data Entry'!C6</f>
        <v>7001</v>
      </c>
      <c r="D7" s="104">
        <f>'Data Entry'!D6</f>
        <v>896</v>
      </c>
      <c r="E7" s="105"/>
      <c r="F7" s="106">
        <f>'Data Entry'!E6</f>
        <v>760</v>
      </c>
      <c r="G7" s="105"/>
      <c r="H7" s="106">
        <f>'Data Entry'!F6</f>
        <v>221</v>
      </c>
      <c r="I7" s="105"/>
      <c r="J7" s="106">
        <f>'Data Entry'!J6</f>
        <v>1918</v>
      </c>
      <c r="K7" s="107"/>
    </row>
    <row r="8" spans="2:30" s="1" customFormat="1" ht="15" customHeight="1" x14ac:dyDescent="0.3">
      <c r="B8" s="121" t="s">
        <v>8</v>
      </c>
      <c r="C8" s="103">
        <f>'Data Entry'!C7</f>
        <v>11</v>
      </c>
      <c r="D8" s="104">
        <f>'Data Entry'!D7</f>
        <v>1</v>
      </c>
      <c r="E8" s="105" t="str">
        <f>'Black or African-American'!$G7</f>
        <v>**</v>
      </c>
      <c r="F8" s="106">
        <f>'Data Entry'!E7</f>
        <v>1</v>
      </c>
      <c r="G8" s="105" t="str">
        <f>Hispanic!G7</f>
        <v>**</v>
      </c>
      <c r="H8" s="106">
        <f>'Data Entry'!F7</f>
        <v>0</v>
      </c>
      <c r="I8" s="105" t="str">
        <f>Asian!G7</f>
        <v>**</v>
      </c>
      <c r="J8" s="106">
        <f>'Data Entry'!J7</f>
        <v>2</v>
      </c>
      <c r="K8" s="107" t="str">
        <f>'All Minorities'!G7</f>
        <v>**</v>
      </c>
      <c r="L8"/>
      <c r="N8" s="1">
        <f>'Black or African-American'!L7</f>
        <v>40</v>
      </c>
      <c r="O8" s="1">
        <f>Hispanic!L7</f>
        <v>40</v>
      </c>
      <c r="P8" s="1">
        <f>Asian!L7</f>
        <v>40</v>
      </c>
      <c r="Q8" s="1" t="e">
        <f>Hawaiian!L7</f>
        <v>#VALUE!</v>
      </c>
      <c r="R8" s="1">
        <f>'Am Indian'!L7</f>
        <v>139</v>
      </c>
      <c r="S8" s="1" t="e">
        <f>'Other - Mixed'!L7</f>
        <v>#VALUE!</v>
      </c>
      <c r="T8" s="1">
        <f>'All Minorities'!L7</f>
        <v>40</v>
      </c>
    </row>
    <row r="9" spans="2:30" s="1" customFormat="1" ht="15" customHeight="1" x14ac:dyDescent="0.3">
      <c r="B9" s="121" t="s">
        <v>134</v>
      </c>
      <c r="C9" s="103">
        <f>'Data Entry'!C8</f>
        <v>53</v>
      </c>
      <c r="D9" s="108">
        <f>'Data Entry'!D8</f>
        <v>30</v>
      </c>
      <c r="E9" s="109" t="str">
        <f>'Black or African-American'!$G8</f>
        <v>**</v>
      </c>
      <c r="F9" s="110">
        <f>'Data Entry'!E8</f>
        <v>0</v>
      </c>
      <c r="G9" s="109" t="str">
        <f>Hispanic!G8</f>
        <v>**</v>
      </c>
      <c r="H9" s="110">
        <f>'Data Entry'!F8</f>
        <v>0</v>
      </c>
      <c r="I9" s="109" t="str">
        <f>Asian!G8</f>
        <v>**</v>
      </c>
      <c r="J9" s="110">
        <f>'Data Entry'!J8</f>
        <v>35</v>
      </c>
      <c r="K9" s="111" t="str">
        <f>'All Minorities'!G8</f>
        <v>**</v>
      </c>
      <c r="L9"/>
      <c r="N9" s="1">
        <f>'Black or African-American'!L8</f>
        <v>20</v>
      </c>
      <c r="O9" s="1">
        <f>Hispanic!L8</f>
        <v>40</v>
      </c>
      <c r="P9" s="1">
        <f>Asian!L8</f>
        <v>40</v>
      </c>
      <c r="Q9" s="1">
        <f>Hawaiian!L8</f>
        <v>139</v>
      </c>
      <c r="R9" s="1">
        <f>'Am Indian'!L8</f>
        <v>139</v>
      </c>
      <c r="S9" s="1">
        <f>'Other - Mixed'!L8</f>
        <v>119</v>
      </c>
      <c r="T9" s="1">
        <f>'All Minorities'!L8</f>
        <v>20</v>
      </c>
    </row>
    <row r="10" spans="2:30" s="1" customFormat="1" ht="15" customHeight="1" x14ac:dyDescent="0.3">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x14ac:dyDescent="0.3">
      <c r="B11" s="121" t="s">
        <v>11</v>
      </c>
      <c r="C11" s="103">
        <f>'Data Entry'!C10</f>
        <v>1</v>
      </c>
      <c r="D11" s="108">
        <f>'Data Entry'!D10</f>
        <v>3</v>
      </c>
      <c r="E11" s="109" t="str">
        <f>'Black or African-American'!$G10</f>
        <v>**</v>
      </c>
      <c r="F11" s="110">
        <f>'Data Entry'!E10</f>
        <v>0</v>
      </c>
      <c r="G11" s="109" t="str">
        <f>Hispanic!G10</f>
        <v>--</v>
      </c>
      <c r="H11" s="110">
        <f>'Data Entry'!F10</f>
        <v>0</v>
      </c>
      <c r="I11" s="109" t="str">
        <f>Asian!G10</f>
        <v>--</v>
      </c>
      <c r="J11" s="110">
        <f>'Data Entry'!J10</f>
        <v>3</v>
      </c>
      <c r="K11" s="111" t="str">
        <f>'All Minorities'!G10</f>
        <v>**</v>
      </c>
      <c r="L11"/>
      <c r="N11" s="1">
        <f>'Black or African-American'!L10</f>
        <v>40</v>
      </c>
      <c r="O11" s="1" t="e">
        <f>Hispanic!L10</f>
        <v>#VALUE!</v>
      </c>
      <c r="P11" s="1" t="e">
        <f>Asian!L10</f>
        <v>#VALUE!</v>
      </c>
      <c r="Q11" s="1" t="e">
        <f>Hawaiian!L10</f>
        <v>#VALUE!</v>
      </c>
      <c r="R11" s="1" t="e">
        <f>'Am Indian'!L10</f>
        <v>#VALUE!</v>
      </c>
      <c r="S11" s="1">
        <f>'Other - Mixed'!L10</f>
        <v>139</v>
      </c>
      <c r="T11" s="1">
        <f>'All Minorities'!L10</f>
        <v>40</v>
      </c>
    </row>
    <row r="12" spans="2:30" s="1" customFormat="1" ht="15" customHeight="1" x14ac:dyDescent="0.3">
      <c r="B12" s="121" t="s">
        <v>95</v>
      </c>
      <c r="C12" s="103">
        <f>'Data Entry'!C11</f>
        <v>33</v>
      </c>
      <c r="D12" s="112">
        <f>'Data Entry'!D11</f>
        <v>17</v>
      </c>
      <c r="E12" s="113" t="str">
        <f>'Black or African-American'!$G11</f>
        <v>**</v>
      </c>
      <c r="F12" s="114">
        <f>'Data Entry'!E11</f>
        <v>0</v>
      </c>
      <c r="G12" s="113" t="str">
        <f>Hispanic!G11</f>
        <v>--</v>
      </c>
      <c r="H12" s="114">
        <f>'Data Entry'!F11</f>
        <v>0</v>
      </c>
      <c r="I12" s="113" t="str">
        <f>Asian!G11</f>
        <v>--</v>
      </c>
      <c r="J12" s="114">
        <f>'Data Entry'!J11</f>
        <v>19</v>
      </c>
      <c r="K12" s="115">
        <f>'All Minorities'!G11</f>
        <v>0.871861471861472</v>
      </c>
      <c r="L12"/>
      <c r="N12" s="1">
        <f>'Black or African-American'!L11</f>
        <v>40</v>
      </c>
      <c r="O12" s="1" t="e">
        <f>Hispanic!L11</f>
        <v>#VALUE!</v>
      </c>
      <c r="P12" s="1" t="e">
        <f>Asian!L11</f>
        <v>#VALUE!</v>
      </c>
      <c r="Q12" s="1" t="e">
        <f>Hawaiian!L11</f>
        <v>#VALUE!</v>
      </c>
      <c r="R12" s="1" t="e">
        <f>'Am Indian'!L11</f>
        <v>#VALUE!</v>
      </c>
      <c r="S12" s="1">
        <f>'Other - Mixed'!L11</f>
        <v>139</v>
      </c>
      <c r="T12" s="1">
        <f>'All Minorities'!L11</f>
        <v>2</v>
      </c>
    </row>
    <row r="13" spans="2:30" s="1" customFormat="1" ht="15" customHeight="1" x14ac:dyDescent="0.3">
      <c r="B13" s="121" t="s">
        <v>13</v>
      </c>
      <c r="C13" s="103">
        <f>'Data Entry'!C12</f>
        <v>28</v>
      </c>
      <c r="D13" s="108">
        <f>'Data Entry'!D12</f>
        <v>14</v>
      </c>
      <c r="E13" s="109" t="str">
        <f>'Black or African-American'!$G12</f>
        <v>**</v>
      </c>
      <c r="F13" s="110">
        <f>'Data Entry'!E12</f>
        <v>0</v>
      </c>
      <c r="G13" s="109" t="str">
        <f>Hispanic!G12</f>
        <v>--</v>
      </c>
      <c r="H13" s="110">
        <f>'Data Entry'!F12</f>
        <v>0</v>
      </c>
      <c r="I13" s="109" t="str">
        <f>Asian!G12</f>
        <v>--</v>
      </c>
      <c r="J13" s="110">
        <f>'Data Entry'!J12</f>
        <v>16</v>
      </c>
      <c r="K13" s="111" t="str">
        <f>'All Minorities'!G12</f>
        <v>**</v>
      </c>
      <c r="L13"/>
      <c r="N13" s="1">
        <f>'Black or African-American'!L12</f>
        <v>40</v>
      </c>
      <c r="O13" s="1" t="e">
        <f>Hispanic!L12</f>
        <v>#VALUE!</v>
      </c>
      <c r="P13" s="1" t="e">
        <f>Asian!L12</f>
        <v>#VALUE!</v>
      </c>
      <c r="Q13" s="1" t="e">
        <f>Hawaiian!L12</f>
        <v>#VALUE!</v>
      </c>
      <c r="R13" s="1" t="e">
        <f>'Am Indian'!L12</f>
        <v>#VALUE!</v>
      </c>
      <c r="S13" s="1">
        <f>'Other - Mixed'!L12</f>
        <v>139</v>
      </c>
      <c r="T13" s="1">
        <f>'All Minorities'!L12</f>
        <v>40</v>
      </c>
      <c r="W13" s="8"/>
      <c r="X13" s="8"/>
      <c r="Y13" s="8"/>
      <c r="Z13" s="8"/>
      <c r="AA13" s="8"/>
      <c r="AB13" s="8"/>
      <c r="AC13" s="8"/>
      <c r="AD13" s="8"/>
    </row>
    <row r="14" spans="2:30" s="1" customFormat="1" ht="15" customHeight="1" x14ac:dyDescent="0.3">
      <c r="B14" s="121" t="s">
        <v>14</v>
      </c>
      <c r="C14" s="103">
        <f>'Data Entry'!C13</f>
        <v>27</v>
      </c>
      <c r="D14" s="112">
        <f>'Data Entry'!D13</f>
        <v>7</v>
      </c>
      <c r="E14" s="113" t="str">
        <f>'Black or African-American'!$G13</f>
        <v>**</v>
      </c>
      <c r="F14" s="114">
        <f>'Data Entry'!E13</f>
        <v>0</v>
      </c>
      <c r="G14" s="113" t="str">
        <f>Hispanic!G13</f>
        <v>--</v>
      </c>
      <c r="H14" s="114">
        <f>'Data Entry'!F13</f>
        <v>0</v>
      </c>
      <c r="I14" s="113" t="str">
        <f>Asian!G13</f>
        <v>--</v>
      </c>
      <c r="J14" s="114">
        <f>'Data Entry'!J13</f>
        <v>11</v>
      </c>
      <c r="K14" s="115" t="str">
        <f>'All Minorities'!G13</f>
        <v>**</v>
      </c>
      <c r="L14"/>
      <c r="N14" s="1">
        <f>'Black or African-American'!L13</f>
        <v>20</v>
      </c>
      <c r="O14" s="1" t="e">
        <f>Hispanic!L13</f>
        <v>#VALUE!</v>
      </c>
      <c r="P14" s="1" t="e">
        <f>Asian!L13</f>
        <v>#VALUE!</v>
      </c>
      <c r="Q14" s="1" t="e">
        <f>Hawaiian!L13</f>
        <v>#VALUE!</v>
      </c>
      <c r="R14" s="1" t="e">
        <f>'Am Indian'!L13</f>
        <v>#VALUE!</v>
      </c>
      <c r="S14" s="1">
        <f>'Other - Mixed'!L13</f>
        <v>119</v>
      </c>
      <c r="T14" s="1">
        <f>'All Minorities'!L13</f>
        <v>20</v>
      </c>
      <c r="W14" s="8"/>
      <c r="X14" s="8"/>
      <c r="Y14" s="8"/>
      <c r="Z14" s="8"/>
      <c r="AA14" s="8"/>
      <c r="AB14" s="8"/>
      <c r="AC14" s="8"/>
      <c r="AD14" s="8"/>
    </row>
    <row r="15" spans="2:30" s="1" customFormat="1" ht="33" x14ac:dyDescent="0.3">
      <c r="B15" s="126" t="s">
        <v>123</v>
      </c>
      <c r="C15" s="103">
        <f>'Data Entry'!C14</f>
        <v>3</v>
      </c>
      <c r="D15" s="108">
        <f>'Data Entry'!D14</f>
        <v>7</v>
      </c>
      <c r="E15" s="109" t="str">
        <f>'Black or African-American'!$G14</f>
        <v>**</v>
      </c>
      <c r="F15" s="110">
        <f>'Data Entry'!E14</f>
        <v>0</v>
      </c>
      <c r="G15" s="109" t="str">
        <f>Hispanic!G14</f>
        <v>--</v>
      </c>
      <c r="H15" s="110">
        <f>'Data Entry'!F14</f>
        <v>0</v>
      </c>
      <c r="I15" s="109" t="str">
        <f>Asian!G14</f>
        <v>--</v>
      </c>
      <c r="J15" s="110">
        <f>'Data Entry'!J14</f>
        <v>10</v>
      </c>
      <c r="K15" s="111" t="str">
        <f>'All Minorities'!G14</f>
        <v>**</v>
      </c>
      <c r="L15"/>
      <c r="N15" s="1">
        <f>'Black or African-American'!L14</f>
        <v>20</v>
      </c>
      <c r="O15" s="1" t="e">
        <f>Hispanic!L14</f>
        <v>#VALUE!</v>
      </c>
      <c r="P15" s="1" t="e">
        <f>Asian!L14</f>
        <v>#VALUE!</v>
      </c>
      <c r="Q15" s="1" t="e">
        <f>Hawaiian!L14</f>
        <v>#VALUE!</v>
      </c>
      <c r="R15" s="1" t="e">
        <f>'Am Indian'!L14</f>
        <v>#VALUE!</v>
      </c>
      <c r="S15" s="1">
        <f>'Other - Mixed'!L14</f>
        <v>119</v>
      </c>
      <c r="T15" s="1">
        <f>'All Minorities'!L14</f>
        <v>20</v>
      </c>
      <c r="W15" s="8"/>
      <c r="X15" s="8"/>
      <c r="Y15" s="8"/>
      <c r="Z15" s="8"/>
      <c r="AA15" s="8"/>
      <c r="AB15" s="8"/>
      <c r="AC15" s="8"/>
      <c r="AD15" s="8"/>
    </row>
    <row r="16" spans="2:30" s="1" customFormat="1" ht="15" customHeight="1" x14ac:dyDescent="0.3">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x14ac:dyDescent="0.4">
      <c r="B17" s="127" t="s">
        <v>96</v>
      </c>
      <c r="C17" s="98" t="str">
        <f>'Data Entry'!C16</f>
        <v>Yes</v>
      </c>
      <c r="D17" s="129"/>
      <c r="E17" s="138" t="str">
        <f>'Data Entry'!$D$16</f>
        <v>Yes</v>
      </c>
      <c r="F17" s="129"/>
      <c r="G17" s="138" t="str">
        <f>'Data Entry'!$E$16</f>
        <v>Yes</v>
      </c>
      <c r="H17" s="129"/>
      <c r="I17" s="138" t="str">
        <f>'Data Entry'!F16</f>
        <v>Yes</v>
      </c>
      <c r="J17" s="129"/>
      <c r="K17" s="137" t="str">
        <f>'Data Entry'!J16</f>
        <v>Yes</v>
      </c>
      <c r="L17"/>
      <c r="W17" s="8"/>
      <c r="X17" s="8"/>
      <c r="Y17" s="8"/>
      <c r="Z17" s="8"/>
      <c r="AA17" s="8"/>
      <c r="AB17" s="8"/>
      <c r="AC17" s="8"/>
      <c r="AD17" s="8"/>
    </row>
    <row r="18" spans="2:30" ht="15" customHeight="1" thickTop="1" thickBot="1" x14ac:dyDescent="0.35">
      <c r="B18" s="93"/>
      <c r="C18" s="93"/>
      <c r="D18" s="93"/>
      <c r="E18" s="93"/>
      <c r="F18" s="93"/>
      <c r="G18" s="93"/>
      <c r="H18" s="93"/>
      <c r="I18" s="93"/>
      <c r="J18" s="93"/>
      <c r="K18" s="93"/>
      <c r="W18" s="8"/>
      <c r="X18" s="8"/>
      <c r="Y18" s="8"/>
      <c r="Z18" s="8"/>
      <c r="AA18" s="8"/>
      <c r="AB18" s="8"/>
      <c r="AC18" s="8"/>
      <c r="AD18" s="8"/>
    </row>
    <row r="19" spans="2:30" ht="18" customHeight="1" thickBot="1" x14ac:dyDescent="0.4">
      <c r="B19" s="192" t="s">
        <v>120</v>
      </c>
      <c r="C19" s="193"/>
      <c r="D19" s="193"/>
      <c r="E19" s="193"/>
      <c r="F19" s="193"/>
      <c r="G19" s="193"/>
      <c r="H19" s="193"/>
      <c r="I19" s="194"/>
      <c r="J19" s="195"/>
      <c r="K19" s="196"/>
    </row>
    <row r="20" spans="2:30" ht="15.75" x14ac:dyDescent="0.3">
      <c r="B20" s="153" t="s">
        <v>125</v>
      </c>
      <c r="C20" s="200" t="s">
        <v>53</v>
      </c>
      <c r="D20" s="201"/>
      <c r="E20" s="184" t="s">
        <v>56</v>
      </c>
      <c r="F20" s="185"/>
      <c r="G20" s="185"/>
      <c r="H20" s="185"/>
      <c r="I20" s="185"/>
      <c r="J20" s="185"/>
      <c r="K20" s="154" t="s">
        <v>57</v>
      </c>
    </row>
    <row r="21" spans="2:30" ht="15" customHeight="1" x14ac:dyDescent="0.3">
      <c r="B21" s="155" t="s">
        <v>126</v>
      </c>
      <c r="C21" s="186" t="s">
        <v>55</v>
      </c>
      <c r="D21" s="187"/>
      <c r="E21" s="188" t="s">
        <v>58</v>
      </c>
      <c r="F21" s="189"/>
      <c r="G21" s="189"/>
      <c r="H21" s="189"/>
      <c r="I21" s="189"/>
      <c r="J21" s="189"/>
      <c r="K21" s="156" t="s">
        <v>59</v>
      </c>
    </row>
    <row r="22" spans="2:30" ht="15" customHeight="1" thickBot="1" x14ac:dyDescent="0.35">
      <c r="B22" s="197"/>
      <c r="C22" s="198"/>
      <c r="D22" s="199"/>
      <c r="E22" s="190" t="s">
        <v>60</v>
      </c>
      <c r="F22" s="191"/>
      <c r="G22" s="191"/>
      <c r="H22" s="191"/>
      <c r="I22" s="191"/>
      <c r="J22" s="191"/>
      <c r="K22" s="157" t="s">
        <v>61</v>
      </c>
    </row>
    <row r="23" spans="2:30" ht="15" customHeight="1" x14ac:dyDescent="0.3">
      <c r="B23" s="93"/>
      <c r="C23" s="93"/>
      <c r="D23" s="93"/>
      <c r="E23"/>
      <c r="F23"/>
      <c r="G23"/>
      <c r="H23"/>
      <c r="J23"/>
      <c r="K23"/>
    </row>
    <row r="24" spans="2:30" ht="15" customHeight="1" x14ac:dyDescent="0.3">
      <c r="B24" s="93"/>
      <c r="C24" s="93"/>
      <c r="D24" s="93"/>
      <c r="E24"/>
      <c r="F24"/>
      <c r="G24"/>
      <c r="H24"/>
      <c r="J24"/>
      <c r="K24"/>
    </row>
    <row r="25" spans="2:30" ht="15" customHeight="1" x14ac:dyDescent="0.25">
      <c r="B25" s="1" t="str">
        <f>'Data Entry'!A18</f>
        <v>5. DATA SOURCES &amp; NOTES</v>
      </c>
    </row>
    <row r="26" spans="2:30"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6"/>
    </row>
    <row r="27" spans="2:30" ht="12.75" customHeight="1" x14ac:dyDescent="0.25">
      <c r="B27" s="1" t="str">
        <f>'Data Entry'!A20</f>
        <v>Item 3.Referral: State Court Administrative Office</v>
      </c>
      <c r="E27" s="1" t="str">
        <f>'Data Entry'!D20</f>
        <v>Item 4.Diversion: State Court Administrative Office</v>
      </c>
      <c r="I27" s="96"/>
    </row>
    <row r="28" spans="2:30" ht="12.75" customHeight="1" x14ac:dyDescent="0.25">
      <c r="B28" s="1" t="str">
        <f>'Data Entry'!A21</f>
        <v>Item 5.Detention: State Court Administrative Office</v>
      </c>
      <c r="E28" s="1" t="str">
        <f>'Data Entry'!D21</f>
        <v>Item 6.Petitioned: State Court Administrative Office</v>
      </c>
      <c r="I28" s="96"/>
    </row>
    <row r="29" spans="2:30" ht="12.75" customHeight="1" x14ac:dyDescent="0.25">
      <c r="B29" s="1" t="str">
        <f>'Data Entry'!A22</f>
        <v>Item 7.Delinquent: State Court Administrative Office</v>
      </c>
      <c r="E29" s="1" t="str">
        <f>'Data Entry'!D22</f>
        <v>Item 8.Probation: State Court Administrative Office</v>
      </c>
      <c r="I29" s="96"/>
    </row>
    <row r="30" spans="2:30" ht="12.75" customHeight="1" x14ac:dyDescent="0.25">
      <c r="B30" s="1" t="str">
        <f>'Data Entry'!A23</f>
        <v>Item 9.Confinement: State Court Administrative Office</v>
      </c>
      <c r="E30" s="1" t="str">
        <f>'Data Entry'!D23</f>
        <v>Item 10.Transferred: State Court Administrative Office</v>
      </c>
      <c r="I30" s="96"/>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G8:G16">
    <cfRule type="expression" dxfId="100" priority="6" stopIfTrue="1">
      <formula>$O8=1</formula>
    </cfRule>
  </conditionalFormatting>
  <conditionalFormatting sqref="I8:I16">
    <cfRule type="expression" dxfId="99" priority="7" stopIfTrue="1">
      <formula>$P8=1</formula>
    </cfRule>
  </conditionalFormatting>
  <conditionalFormatting sqref="K8:K16">
    <cfRule type="expression" dxfId="98" priority="10" stopIfTrue="1">
      <formula>$T8=1</formula>
    </cfRule>
  </conditionalFormatting>
  <conditionalFormatting sqref="E8:E16">
    <cfRule type="expression" dxfId="97" priority="11" stopIfTrue="1">
      <formula>N8=1</formula>
    </cfRule>
  </conditionalFormatting>
  <conditionalFormatting sqref="G7">
    <cfRule type="expression" dxfId="96" priority="1" stopIfTrue="1">
      <formula>$O7=1</formula>
    </cfRule>
  </conditionalFormatting>
  <conditionalFormatting sqref="I7">
    <cfRule type="expression" dxfId="95" priority="2" stopIfTrue="1">
      <formula>$P7=1</formula>
    </cfRule>
  </conditionalFormatting>
  <conditionalFormatting sqref="K7">
    <cfRule type="expression" dxfId="94" priority="3" stopIfTrue="1">
      <formula>$T7=1</formula>
    </cfRule>
  </conditionalFormatting>
  <conditionalFormatting sqref="E7">
    <cfRule type="expression" dxfId="93" priority="4" stopIfTrue="1">
      <formula>N7=1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x14ac:dyDescent="0.25">
      <c r="B1" s="16" t="s">
        <v>29</v>
      </c>
      <c r="D1" s="20" t="s">
        <v>30</v>
      </c>
      <c r="E1" s="14"/>
      <c r="F1" s="212" t="str">
        <f>'Data Entry'!D5</f>
        <v>Black or African American</v>
      </c>
      <c r="G1" s="212"/>
      <c r="H1" s="212"/>
      <c r="I1" s="212"/>
      <c r="J1" s="212"/>
      <c r="K1" s="8"/>
      <c r="N1" s="21"/>
      <c r="O1" s="21"/>
      <c r="P1" s="21"/>
      <c r="Q1" s="21"/>
      <c r="R1" s="21"/>
    </row>
    <row r="2" spans="2:21" ht="15" customHeight="1" x14ac:dyDescent="0.25">
      <c r="B2" s="16" t="str">
        <f>'Data Entry'!A2</f>
        <v>State: Michigan</v>
      </c>
      <c r="C2" s="4"/>
      <c r="D2" s="4"/>
      <c r="E2" s="4"/>
      <c r="F2" s="4"/>
      <c r="N2" s="21"/>
      <c r="O2" s="21"/>
      <c r="P2" s="21"/>
      <c r="Q2" s="21"/>
      <c r="R2" s="21"/>
    </row>
    <row r="3" spans="2:21" ht="15" customHeight="1" x14ac:dyDescent="0.25">
      <c r="B3" s="16" t="str">
        <f>'Data Entry'!A3</f>
        <v>County: Eaton</v>
      </c>
      <c r="C3" s="22"/>
      <c r="D3" s="22"/>
      <c r="E3" s="22"/>
      <c r="F3" s="22"/>
      <c r="G3" s="7"/>
      <c r="H3" s="7"/>
      <c r="I3" s="7"/>
      <c r="J3" s="7"/>
      <c r="K3" s="7"/>
      <c r="N3" s="211" t="s">
        <v>31</v>
      </c>
      <c r="O3" s="211"/>
      <c r="P3" s="211"/>
      <c r="Q3" s="211"/>
      <c r="R3" s="211"/>
      <c r="S3" s="211"/>
      <c r="T3" s="211"/>
      <c r="U3" s="211"/>
    </row>
    <row r="4" spans="2:21" ht="8.25" customHeight="1" x14ac:dyDescent="0.25">
      <c r="B4" s="4"/>
      <c r="C4" s="23"/>
      <c r="D4" s="23"/>
      <c r="E4" s="23"/>
      <c r="F4" s="23"/>
      <c r="G4" s="8"/>
      <c r="H4" s="8"/>
      <c r="I4" s="8"/>
      <c r="N4" s="211"/>
      <c r="O4" s="211"/>
      <c r="P4" s="211"/>
      <c r="Q4" s="211"/>
      <c r="R4" s="211"/>
      <c r="S4" s="211"/>
      <c r="T4" s="211"/>
      <c r="U4" s="211"/>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7001</v>
      </c>
      <c r="D6" s="34"/>
      <c r="E6" s="33">
        <f>'Data Entry'!D6</f>
        <v>896</v>
      </c>
      <c r="F6" s="34"/>
      <c r="G6" s="35"/>
      <c r="H6" s="36"/>
      <c r="I6" s="37"/>
      <c r="J6" s="38"/>
      <c r="K6" s="37"/>
      <c r="L6" s="1">
        <f>IF( ('Data Entry'!D6&gt;('Data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11</v>
      </c>
      <c r="D7" s="34">
        <f>IF((AND(C66&gt;0,C7&gt;0)),(C7/C66),0)</f>
        <v>1.571204113698043</v>
      </c>
      <c r="E7" s="33">
        <f>'Data Entry'!D7</f>
        <v>1</v>
      </c>
      <c r="F7" s="34">
        <f>IF((AND($E$7&gt;0,$D$66&gt;0)),($E$7/$D$66),0)</f>
        <v>1.1160714285714286</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1</v>
      </c>
      <c r="O7" s="42">
        <f>E6-E7</f>
        <v>895</v>
      </c>
      <c r="P7" s="42">
        <f t="shared" ref="P7:P15" si="2">C7</f>
        <v>11</v>
      </c>
      <c r="Q7" s="42">
        <f>C6-C7</f>
        <v>6990</v>
      </c>
      <c r="R7" s="42">
        <f t="shared" ref="R7:R15" si="3">SUM(N7:Q7)</f>
        <v>7897</v>
      </c>
      <c r="S7" s="30">
        <f t="shared" ref="S7:S15" si="4">R7*((((N7*Q7)-(O7*P7))^2))</f>
        <v>64368644425</v>
      </c>
      <c r="T7" s="30">
        <f t="shared" ref="T7:T15" si="5">(N7+O7)*(P7+Q7)*(N7+P7)*(O7+Q7)</f>
        <v>593541419520</v>
      </c>
      <c r="U7" s="31">
        <f t="shared" ref="U7:U15" si="6">IF((S7&gt;0),S7/T7,"- -")</f>
        <v>0.10844844573282729</v>
      </c>
    </row>
    <row r="8" spans="2:21" ht="18" customHeight="1" x14ac:dyDescent="0.25">
      <c r="B8" s="32" t="str">
        <f>'Data Entry'!A8</f>
        <v>3. Refer to Juvenile Court</v>
      </c>
      <c r="C8" s="33">
        <f>'Data Entry'!C8</f>
        <v>53</v>
      </c>
      <c r="D8" s="34">
        <f>IF((AND(C67&gt;0,C8&gt;0)),(C8/C67),0)</f>
        <v>481.81818181818181</v>
      </c>
      <c r="E8" s="33">
        <f>'Data Entry'!D8</f>
        <v>30</v>
      </c>
      <c r="F8" s="34">
        <f>IF((AND($E$8&gt;0,$D$67&gt;0)),($E8/$D67),0)</f>
        <v>3000</v>
      </c>
      <c r="G8" s="39" t="str">
        <f t="shared" ref="G8:G15" si="7">IF(L$6=100,"*",IF(M8=FALSE,"--",IF(K8=20,"**",($F8/$D8))))</f>
        <v>**</v>
      </c>
      <c r="H8" s="40"/>
      <c r="I8" s="41"/>
      <c r="J8" s="40">
        <f>IF((ABS($U8)&gt;Defaults!D$7),1,2)</f>
        <v>1</v>
      </c>
      <c r="K8" s="39">
        <f>IF((AND(N8&gt;Defaults!B$12,(N8+O8)&gt;Defaults!B$13, P8 &gt; Defaults!B$12, (P8+Q8) &gt; Defaults!B$13)),1,20)</f>
        <v>20</v>
      </c>
      <c r="L8" s="1">
        <f t="shared" ref="L8:L15" si="8">(J8*K8+L$6)-1</f>
        <v>20</v>
      </c>
      <c r="M8" s="1" t="b">
        <f t="shared" si="0"/>
        <v>1</v>
      </c>
      <c r="N8" s="42">
        <f t="shared" si="1"/>
        <v>30</v>
      </c>
      <c r="O8" s="42">
        <f>((D67*L67)-E8)+0.05</f>
        <v>-28.95</v>
      </c>
      <c r="P8" s="42">
        <f t="shared" si="2"/>
        <v>53</v>
      </c>
      <c r="Q8" s="42">
        <f>(C$67*L67)-C8</f>
        <v>-42</v>
      </c>
      <c r="R8" s="42">
        <f t="shared" si="3"/>
        <v>12.049999999999997</v>
      </c>
      <c r="S8" s="30">
        <f t="shared" si="4"/>
        <v>906978.46612499922</v>
      </c>
      <c r="T8" s="30">
        <f t="shared" si="5"/>
        <v>-68016.217500000042</v>
      </c>
      <c r="U8" s="31">
        <f t="shared" si="6"/>
        <v>-13.334738382430611</v>
      </c>
    </row>
    <row r="9" spans="2:21" ht="18" customHeight="1" x14ac:dyDescent="0.25">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30</v>
      </c>
      <c r="P9" s="42">
        <f t="shared" si="2"/>
        <v>0</v>
      </c>
      <c r="Q9" s="42">
        <f>(C$68*L68)-C9</f>
        <v>53</v>
      </c>
      <c r="R9" s="42">
        <f t="shared" si="3"/>
        <v>83</v>
      </c>
      <c r="S9" s="30">
        <f t="shared" si="4"/>
        <v>0</v>
      </c>
      <c r="T9" s="30">
        <f t="shared" si="5"/>
        <v>0</v>
      </c>
      <c r="U9" s="31" t="str">
        <f t="shared" si="6"/>
        <v>- -</v>
      </c>
    </row>
    <row r="10" spans="2:21" ht="18" customHeight="1" x14ac:dyDescent="0.25">
      <c r="B10" s="32" t="str">
        <f>'Data Entry'!A10</f>
        <v>5. Cases Involving Secure Detention</v>
      </c>
      <c r="C10" s="33">
        <f>'Data Entry'!C10</f>
        <v>1</v>
      </c>
      <c r="D10" s="34">
        <f>IF(((AND(C68&gt;0,C10&gt;0))),(C10/(C68)),0)</f>
        <v>1.8867924528301885</v>
      </c>
      <c r="E10" s="33">
        <f>'Data Entry'!D10</f>
        <v>3</v>
      </c>
      <c r="F10" s="34">
        <f>IF(((AND($E$10&gt;0,$D$68&gt;0))),($E$10/($D$68)),0)</f>
        <v>10</v>
      </c>
      <c r="G10" s="39" t="str">
        <f t="shared" si="7"/>
        <v>**</v>
      </c>
      <c r="H10" s="40"/>
      <c r="I10" s="41"/>
      <c r="J10" s="40">
        <f>IF((ABS($U10)&gt;Defaults!D$7),1,2)</f>
        <v>2</v>
      </c>
      <c r="K10" s="39">
        <f>IF((AND(N10&gt;Defaults!B$12,(N10+O10)&gt;Defaults!B$13, P10 &gt; Defaults!B$12, (P10+Q10) &gt; Defaults!B$13)),1,20)</f>
        <v>20</v>
      </c>
      <c r="L10" s="1">
        <f t="shared" si="8"/>
        <v>40</v>
      </c>
      <c r="M10" s="1" t="b">
        <f t="shared" si="0"/>
        <v>1</v>
      </c>
      <c r="N10" s="42">
        <f t="shared" si="1"/>
        <v>3</v>
      </c>
      <c r="O10" s="42">
        <f>(D$68*L68)-E10</f>
        <v>27</v>
      </c>
      <c r="P10" s="42">
        <f t="shared" si="2"/>
        <v>1</v>
      </c>
      <c r="Q10" s="42">
        <f>(C$68*L68)-C10</f>
        <v>52</v>
      </c>
      <c r="R10" s="42">
        <f t="shared" si="3"/>
        <v>83</v>
      </c>
      <c r="S10" s="30">
        <f t="shared" si="4"/>
        <v>1381203</v>
      </c>
      <c r="T10" s="30">
        <f t="shared" si="5"/>
        <v>502440</v>
      </c>
      <c r="U10" s="31">
        <f t="shared" si="6"/>
        <v>2.7489909242894672</v>
      </c>
    </row>
    <row r="11" spans="2:21" ht="18" customHeight="1" x14ac:dyDescent="0.25">
      <c r="B11" s="32" t="str">
        <f>'Data Entry'!A11</f>
        <v>6. Cases Petitioned (Charge Filed)</v>
      </c>
      <c r="C11" s="33">
        <f>'Data Entry'!C11</f>
        <v>33</v>
      </c>
      <c r="D11" s="34">
        <f>IF(((AND(C68&gt;0,C11&gt;0))),(C11/(C68)),0)</f>
        <v>62.264150943396224</v>
      </c>
      <c r="E11" s="33">
        <f>'Data Entry'!D11</f>
        <v>17</v>
      </c>
      <c r="F11" s="34">
        <f>IF(((AND($E$11&gt;0,$D$68&gt;0))),($E$11/($D$68)),0)</f>
        <v>56.666666666666671</v>
      </c>
      <c r="G11" s="39" t="str">
        <f t="shared" si="7"/>
        <v>**</v>
      </c>
      <c r="H11" s="40"/>
      <c r="I11" s="41"/>
      <c r="J11" s="40">
        <f>IF((ABS($U11)&gt;Defaults!D$7),1,2)</f>
        <v>2</v>
      </c>
      <c r="K11" s="39">
        <f>IF((AND(N11&gt;Defaults!B$12,(N11+O11)&gt;Defaults!B$13, P11 &gt; Defaults!B$12, (P11+Q11) &gt; Defaults!B$13)),1,20)</f>
        <v>20</v>
      </c>
      <c r="L11" s="1">
        <f t="shared" si="8"/>
        <v>40</v>
      </c>
      <c r="M11" s="1" t="b">
        <f t="shared" si="0"/>
        <v>1</v>
      </c>
      <c r="N11" s="42">
        <f t="shared" si="1"/>
        <v>17</v>
      </c>
      <c r="O11" s="42">
        <f>(D$68*L68)-E11</f>
        <v>13</v>
      </c>
      <c r="P11" s="42">
        <f t="shared" si="2"/>
        <v>33</v>
      </c>
      <c r="Q11" s="42">
        <f>(C$68*L68)-C11</f>
        <v>20</v>
      </c>
      <c r="R11" s="42">
        <f t="shared" si="3"/>
        <v>83</v>
      </c>
      <c r="S11" s="30">
        <f t="shared" si="4"/>
        <v>657443</v>
      </c>
      <c r="T11" s="30">
        <f t="shared" si="5"/>
        <v>2623500</v>
      </c>
      <c r="U11" s="31">
        <f t="shared" si="6"/>
        <v>0.25059767486182583</v>
      </c>
    </row>
    <row r="12" spans="2:21" ht="18" customHeight="1" x14ac:dyDescent="0.25">
      <c r="B12" s="32" t="str">
        <f>'Data Entry'!A12</f>
        <v>7. Cases Resulting in Delinquent Findings</v>
      </c>
      <c r="C12" s="33">
        <f>'Data Entry'!C12</f>
        <v>28</v>
      </c>
      <c r="D12" s="34">
        <f>IF(((AND(C69&gt;0,C12&gt;0))),(C12/(C69)),0)</f>
        <v>84.848484848484844</v>
      </c>
      <c r="E12" s="33">
        <f>'Data Entry'!D12</f>
        <v>14</v>
      </c>
      <c r="F12" s="34">
        <f>IF(((AND($D$69&gt;0,$E$12&gt;0))),(E12/(D69)),0)</f>
        <v>82.35294117647058</v>
      </c>
      <c r="G12" s="39" t="str">
        <f t="shared" si="7"/>
        <v>**</v>
      </c>
      <c r="H12" s="40"/>
      <c r="I12" s="41"/>
      <c r="J12" s="40">
        <f>IF((ABS($U12)&gt;Defaults!D$7),1,2)</f>
        <v>2</v>
      </c>
      <c r="K12" s="39">
        <f>IF((AND(N12&gt;Defaults!B$12,(N12+O12)&gt;Defaults!B$13, P12 &gt; Defaults!B$12, (P12+Q12) &gt; Defaults!B$13)),1,20)</f>
        <v>20</v>
      </c>
      <c r="L12" s="1">
        <f t="shared" si="8"/>
        <v>40</v>
      </c>
      <c r="M12" s="1" t="b">
        <f t="shared" si="0"/>
        <v>1</v>
      </c>
      <c r="N12" s="42">
        <f t="shared" si="1"/>
        <v>14</v>
      </c>
      <c r="O12" s="42">
        <f>(D69*L69)-E12</f>
        <v>3</v>
      </c>
      <c r="P12" s="42">
        <f t="shared" si="2"/>
        <v>28</v>
      </c>
      <c r="Q12" s="42">
        <f>(C69*L69)-C12</f>
        <v>5</v>
      </c>
      <c r="R12" s="42">
        <f t="shared" si="3"/>
        <v>50</v>
      </c>
      <c r="S12" s="30">
        <f t="shared" si="4"/>
        <v>9800</v>
      </c>
      <c r="T12" s="30">
        <f t="shared" si="5"/>
        <v>188496</v>
      </c>
      <c r="U12" s="31">
        <f t="shared" si="6"/>
        <v>5.1990493166963754E-2</v>
      </c>
    </row>
    <row r="13" spans="2:21" ht="18" customHeight="1" x14ac:dyDescent="0.25">
      <c r="B13" s="32" t="str">
        <f>'Data Entry'!A13</f>
        <v>8. Cases Resulting in Probation Placement</v>
      </c>
      <c r="C13" s="33">
        <f>'Data Entry'!C13</f>
        <v>27</v>
      </c>
      <c r="D13" s="34">
        <f>IF(((AND(C70&gt;0,C13&gt;0))),(C13/(C70)),0)</f>
        <v>96.428571428571416</v>
      </c>
      <c r="E13" s="33">
        <f>'Data Entry'!D13</f>
        <v>7</v>
      </c>
      <c r="F13" s="34">
        <f>IF(((AND($D$70&gt;0,$E$13&gt;0))),($E$13/($D$70)),0)</f>
        <v>49.999999999999993</v>
      </c>
      <c r="G13" s="39" t="str">
        <f t="shared" si="7"/>
        <v>**</v>
      </c>
      <c r="H13" s="40"/>
      <c r="I13" s="41"/>
      <c r="J13" s="40">
        <f>IF((ABS($U13)&gt;Defaults!D$7),1,2)</f>
        <v>1</v>
      </c>
      <c r="K13" s="39">
        <f>IF((AND(N13&gt;Defaults!B$12,(N13+O13)&gt;Defaults!B$13, P13 &gt; Defaults!B$12, (P13+Q13) &gt; Defaults!B$13)),1,20)</f>
        <v>20</v>
      </c>
      <c r="L13" s="1">
        <f t="shared" si="8"/>
        <v>20</v>
      </c>
      <c r="M13" s="1" t="b">
        <f t="shared" si="0"/>
        <v>1</v>
      </c>
      <c r="N13" s="42">
        <f t="shared" si="1"/>
        <v>7</v>
      </c>
      <c r="O13" s="42">
        <f>(D70*L70)-E13</f>
        <v>7.0000000000000018</v>
      </c>
      <c r="P13" s="42">
        <f t="shared" si="2"/>
        <v>27</v>
      </c>
      <c r="Q13" s="42">
        <f>(C70*L70)-C13</f>
        <v>1.0000000000000036</v>
      </c>
      <c r="R13" s="42">
        <f t="shared" si="3"/>
        <v>42</v>
      </c>
      <c r="S13" s="30">
        <f t="shared" si="4"/>
        <v>1391208.0000000002</v>
      </c>
      <c r="T13" s="30">
        <f t="shared" si="5"/>
        <v>106624.0000000001</v>
      </c>
      <c r="U13" s="31">
        <f t="shared" si="6"/>
        <v>13.047794117647049</v>
      </c>
    </row>
    <row r="14" spans="2:21" ht="30.75" customHeight="1" x14ac:dyDescent="0.25">
      <c r="B14" s="32" t="str">
        <f>'Data Entry'!A14</f>
        <v xml:space="preserve">9. Cases Resulting in Confinement in Secure Juvenile Correctional Facilities </v>
      </c>
      <c r="C14" s="33">
        <f>'Data Entry'!C14</f>
        <v>3</v>
      </c>
      <c r="D14" s="34">
        <f>IF(((AND(C70&gt;0,C14&gt;0))), ((C14/(C70))),0)</f>
        <v>10.714285714285714</v>
      </c>
      <c r="E14" s="33">
        <f>'Data Entry'!D14</f>
        <v>7</v>
      </c>
      <c r="F14" s="34">
        <f>IF(((AND($D$70&gt;0,$E$14&gt;0))), (($E$14/($D$70))),0)</f>
        <v>49.999999999999993</v>
      </c>
      <c r="G14" s="39" t="str">
        <f t="shared" si="7"/>
        <v>**</v>
      </c>
      <c r="H14" s="40"/>
      <c r="I14" s="41"/>
      <c r="J14" s="40">
        <f>IF((ABS($U14)&gt;Defaults!D$7),1,2)</f>
        <v>1</v>
      </c>
      <c r="K14" s="39">
        <f>IF((AND(N14&gt;Defaults!B$12,(N14+O14)&gt;Defaults!B$13, P14 &gt; Defaults!B$12, (P14+Q14) &gt; Defaults!B$13)),1,20)</f>
        <v>20</v>
      </c>
      <c r="L14" s="1">
        <f t="shared" si="8"/>
        <v>20</v>
      </c>
      <c r="M14" s="1" t="b">
        <f t="shared" si="0"/>
        <v>1</v>
      </c>
      <c r="N14" s="42">
        <f t="shared" si="1"/>
        <v>7</v>
      </c>
      <c r="O14" s="42">
        <f>(D70*L70)-E14</f>
        <v>7.0000000000000018</v>
      </c>
      <c r="P14" s="42">
        <f t="shared" si="2"/>
        <v>3</v>
      </c>
      <c r="Q14" s="42">
        <f>(C70*L70)-C14</f>
        <v>25.000000000000004</v>
      </c>
      <c r="R14" s="42">
        <f t="shared" si="3"/>
        <v>42</v>
      </c>
      <c r="S14" s="30">
        <f t="shared" si="4"/>
        <v>996072.00000000035</v>
      </c>
      <c r="T14" s="30">
        <f t="shared" si="5"/>
        <v>125440.00000000006</v>
      </c>
      <c r="U14" s="31">
        <f t="shared" si="6"/>
        <v>7.9406249999999989</v>
      </c>
    </row>
    <row r="15" spans="2:21" ht="15.75" customHeight="1" x14ac:dyDescent="0.25">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17</v>
      </c>
      <c r="P15" s="42">
        <f t="shared" si="2"/>
        <v>0</v>
      </c>
      <c r="Q15" s="42">
        <f>(C69*L69)-C15</f>
        <v>33</v>
      </c>
      <c r="R15" s="42">
        <f t="shared" si="3"/>
        <v>50</v>
      </c>
      <c r="S15" s="30">
        <f t="shared" si="4"/>
        <v>0</v>
      </c>
      <c r="T15" s="30">
        <f t="shared" si="5"/>
        <v>0</v>
      </c>
      <c r="U15" s="31" t="str">
        <f t="shared" si="6"/>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2" customHeight="1" x14ac:dyDescent="0.25">
      <c r="B24" s="43"/>
      <c r="C24" s="44"/>
      <c r="D24" s="44"/>
      <c r="E24" s="44"/>
      <c r="F24" s="44"/>
      <c r="G24" s="44"/>
      <c r="H24" s="44"/>
      <c r="I24" s="44"/>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1</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0" t="s">
        <v>79</v>
      </c>
      <c r="C40" s="210"/>
      <c r="D40" s="210"/>
      <c r="E40" s="210"/>
      <c r="F40" s="210"/>
      <c r="G40" s="210"/>
      <c r="H40" s="210"/>
      <c r="I40" s="210"/>
      <c r="J40" s="210"/>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7.0010000000000003</v>
      </c>
      <c r="D42" s="56">
        <f>E6/1000</f>
        <v>0.89600000000000002</v>
      </c>
      <c r="E42" s="56">
        <f>MAX(C42:D42)</f>
        <v>7.0010000000000003</v>
      </c>
      <c r="G42" s="1" t="str">
        <f>B42</f>
        <v>per 1000 youth</v>
      </c>
      <c r="L42" s="57">
        <v>1000</v>
      </c>
      <c r="M42" s="57"/>
      <c r="R42" s="49"/>
    </row>
    <row r="43" spans="2:18" ht="15" hidden="1" customHeight="1" x14ac:dyDescent="0.25">
      <c r="B43" s="49" t="s">
        <v>87</v>
      </c>
      <c r="C43" s="56">
        <f>C7/100</f>
        <v>0.11</v>
      </c>
      <c r="D43" s="56">
        <f>E7/100</f>
        <v>0.01</v>
      </c>
      <c r="E43" s="56">
        <f>MAX(C43:D43,0)</f>
        <v>0.11</v>
      </c>
      <c r="G43" s="1" t="str">
        <f>B43</f>
        <v>per 100 arrests</v>
      </c>
      <c r="L43" s="57">
        <v>100</v>
      </c>
      <c r="M43" s="57"/>
      <c r="R43" s="49"/>
    </row>
    <row r="44" spans="2:18" ht="15" hidden="1" customHeight="1" x14ac:dyDescent="0.25">
      <c r="B44" s="49" t="s">
        <v>88</v>
      </c>
      <c r="C44" s="56">
        <f>C8/100</f>
        <v>0.53</v>
      </c>
      <c r="D44" s="56">
        <f>E8/100</f>
        <v>0.3</v>
      </c>
      <c r="E44" s="56">
        <f>MAX(C44:D44,0)</f>
        <v>0.53</v>
      </c>
      <c r="G44" s="1" t="str">
        <f>B44</f>
        <v>per 100 referrals</v>
      </c>
      <c r="L44" s="57">
        <v>100</v>
      </c>
      <c r="M44" s="57"/>
      <c r="R44" s="49"/>
    </row>
    <row r="45" spans="2:18" ht="15" hidden="1" customHeight="1" x14ac:dyDescent="0.25">
      <c r="B45" s="49" t="s">
        <v>89</v>
      </c>
      <c r="C45" s="49">
        <f>C11/100</f>
        <v>0.33</v>
      </c>
      <c r="D45" s="49">
        <f>E11/100</f>
        <v>0.17</v>
      </c>
      <c r="E45" s="56">
        <f>MAX(C45:D45,0)</f>
        <v>0.33</v>
      </c>
      <c r="G45" s="1" t="str">
        <f>B45</f>
        <v>per 100 youth petitioned</v>
      </c>
      <c r="L45" s="57">
        <v>100</v>
      </c>
      <c r="M45" s="57"/>
      <c r="R45" s="49"/>
    </row>
    <row r="46" spans="2:18" ht="15" hidden="1" customHeight="1" x14ac:dyDescent="0.25">
      <c r="B46" s="49" t="s">
        <v>90</v>
      </c>
      <c r="C46" s="49">
        <f>C12/100</f>
        <v>0.28000000000000003</v>
      </c>
      <c r="D46" s="49">
        <f>E12/100</f>
        <v>0.14000000000000001</v>
      </c>
      <c r="E46" s="56">
        <f>MAX(C46:D46)</f>
        <v>0.28000000000000003</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7.0010000000000003</v>
      </c>
      <c r="D48" s="56">
        <f>D42</f>
        <v>0.89600000000000002</v>
      </c>
      <c r="E48" s="56">
        <f>MAX(C48:D48)</f>
        <v>7.0010000000000003</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IF(($E43&gt;0),C43,C42)</f>
        <v>0.11</v>
      </c>
      <c r="D49" s="49">
        <f t="shared" si="9"/>
        <v>0.01</v>
      </c>
      <c r="E49" s="49">
        <f>MAX(C49:D49)</f>
        <v>0.11</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0.53</v>
      </c>
      <c r="D50" s="49">
        <f t="shared" si="9"/>
        <v>0.3</v>
      </c>
      <c r="E50" s="49">
        <f>MAX(C50:D50)</f>
        <v>0.53</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0.33</v>
      </c>
      <c r="D51" s="49">
        <f>IF(($E45&gt;0),D45,D44)</f>
        <v>0.17</v>
      </c>
      <c r="E51" s="49">
        <f>MAX(C51:D51)</f>
        <v>0.33</v>
      </c>
      <c r="G51" s="1" t="str">
        <f>G45</f>
        <v>per 100 youth petitioned</v>
      </c>
      <c r="L51" s="58">
        <f>IF(($E45&gt;0),L45,L44)</f>
        <v>100</v>
      </c>
      <c r="M51" s="58"/>
    </row>
    <row r="52" spans="2:18" ht="15" hidden="1" customHeight="1" x14ac:dyDescent="0.25">
      <c r="B52" s="49" t="str">
        <f>IF(($E46&gt;0),B46,B45)</f>
        <v>per 100 youth found delinquent</v>
      </c>
      <c r="C52" s="49">
        <f>IF(($E46&gt;0),C46,C45)</f>
        <v>0.28000000000000003</v>
      </c>
      <c r="D52" s="49">
        <f>IF(($E46&gt;0),D46,D45)</f>
        <v>0.14000000000000001</v>
      </c>
      <c r="E52" s="56">
        <f>MAX(C52:D52)</f>
        <v>0.28000000000000003</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7.0010000000000003</v>
      </c>
      <c r="D54" s="56">
        <f>D48</f>
        <v>0.89600000000000002</v>
      </c>
      <c r="E54" s="56">
        <f>MAX(C54:D54)</f>
        <v>7.0010000000000003</v>
      </c>
      <c r="G54" s="1" t="str">
        <f>G48</f>
        <v>per 1000 youth</v>
      </c>
      <c r="L54" s="58">
        <f>L48</f>
        <v>1000</v>
      </c>
      <c r="M54" s="58"/>
    </row>
    <row r="55" spans="2:18" ht="15" hidden="1" customHeight="1" x14ac:dyDescent="0.25">
      <c r="B55" s="49" t="str">
        <f t="shared" ref="B55:D56" si="10">IF(($E49&gt;0),B49,B48)</f>
        <v>per 100 arrests</v>
      </c>
      <c r="C55" s="49">
        <f t="shared" si="10"/>
        <v>0.11</v>
      </c>
      <c r="D55" s="49">
        <f t="shared" si="10"/>
        <v>0.01</v>
      </c>
      <c r="E55" s="49">
        <f>MAX(C55:D55)</f>
        <v>0.11</v>
      </c>
      <c r="G55" s="1" t="str">
        <f>G49</f>
        <v>per 100 arrests</v>
      </c>
      <c r="L55" s="58">
        <f>IF(($E49&gt;0),L49,L48)</f>
        <v>100</v>
      </c>
      <c r="M55" s="58"/>
    </row>
    <row r="56" spans="2:18" ht="15" hidden="1" customHeight="1" x14ac:dyDescent="0.25">
      <c r="B56" s="49" t="str">
        <f t="shared" si="10"/>
        <v>per 100 referrals</v>
      </c>
      <c r="C56" s="49">
        <f t="shared" si="10"/>
        <v>0.53</v>
      </c>
      <c r="D56" s="49">
        <f t="shared" si="10"/>
        <v>0.3</v>
      </c>
      <c r="E56" s="49">
        <f>MAX(C56:D56)</f>
        <v>0.53</v>
      </c>
      <c r="G56" s="1" t="str">
        <f>G50</f>
        <v>per 100 referrals</v>
      </c>
      <c r="L56" s="58">
        <f>IF(($E50&gt;0),L50,L49)</f>
        <v>100</v>
      </c>
      <c r="M56" s="58"/>
    </row>
    <row r="57" spans="2:18" ht="15" hidden="1" customHeight="1" x14ac:dyDescent="0.25">
      <c r="B57" s="49" t="str">
        <f>IF(($E51&gt;0),B51,B49)</f>
        <v>per 100 youth petitioned</v>
      </c>
      <c r="C57" s="49">
        <f>IF(($E51&gt;0),C51,C50)</f>
        <v>0.33</v>
      </c>
      <c r="D57" s="49">
        <f>IF(($E51&gt;0),D51,D50)</f>
        <v>0.17</v>
      </c>
      <c r="E57" s="49">
        <f>MAX(C57:D57)</f>
        <v>0.33</v>
      </c>
      <c r="G57" s="1" t="str">
        <f>G51</f>
        <v>per 100 youth petitioned</v>
      </c>
      <c r="L57" s="58">
        <f>IF(($E51&gt;0),L51,L50)</f>
        <v>100</v>
      </c>
      <c r="M57" s="58"/>
    </row>
    <row r="58" spans="2:18" ht="15" hidden="1" customHeight="1" x14ac:dyDescent="0.25">
      <c r="B58" s="49" t="str">
        <f>IF(($E52&gt;0),B52,B51)</f>
        <v>per 100 youth found delinquent</v>
      </c>
      <c r="C58" s="49">
        <f>IF(($E52&gt;0),C52,C51)</f>
        <v>0.28000000000000003</v>
      </c>
      <c r="D58" s="49">
        <f>IF(($E52&gt;0),D52,D51)</f>
        <v>0.14000000000000001</v>
      </c>
      <c r="E58" s="56">
        <f>MAX(C58:D58)</f>
        <v>0.28000000000000003</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7.0010000000000003</v>
      </c>
      <c r="D60" s="56">
        <f>D54</f>
        <v>0.89600000000000002</v>
      </c>
      <c r="E60" s="56">
        <f>MAX(C60:D60)</f>
        <v>7.0010000000000003</v>
      </c>
      <c r="G60" s="1" t="str">
        <f>G54</f>
        <v>per 1000 youth</v>
      </c>
      <c r="L60" s="58">
        <f>L54</f>
        <v>1000</v>
      </c>
      <c r="M60" s="58"/>
    </row>
    <row r="61" spans="2:18" ht="15" hidden="1" customHeight="1" x14ac:dyDescent="0.25">
      <c r="B61" s="49" t="str">
        <f t="shared" ref="B61:D62" si="11">IF(($E55&gt;0),B55,B54)</f>
        <v>per 100 arrests</v>
      </c>
      <c r="C61" s="49">
        <f t="shared" si="11"/>
        <v>0.11</v>
      </c>
      <c r="D61" s="49">
        <f t="shared" si="11"/>
        <v>0.01</v>
      </c>
      <c r="E61" s="49">
        <f>MAX(C61:D61)</f>
        <v>0.11</v>
      </c>
      <c r="G61" s="1" t="str">
        <f>G55</f>
        <v>per 100 arrests</v>
      </c>
      <c r="L61" s="58">
        <f>IF(($E55&gt;0),L55,L54)</f>
        <v>100</v>
      </c>
      <c r="M61" s="58"/>
    </row>
    <row r="62" spans="2:18" ht="15" hidden="1" customHeight="1" x14ac:dyDescent="0.25">
      <c r="B62" s="49" t="str">
        <f t="shared" si="11"/>
        <v>per 100 referrals</v>
      </c>
      <c r="C62" s="49">
        <f t="shared" si="11"/>
        <v>0.53</v>
      </c>
      <c r="D62" s="49">
        <f t="shared" si="11"/>
        <v>0.3</v>
      </c>
      <c r="E62" s="49">
        <f>MAX(C62:D62)</f>
        <v>0.53</v>
      </c>
      <c r="G62" s="1" t="str">
        <f>G56</f>
        <v>per 100 referrals</v>
      </c>
      <c r="L62" s="58">
        <f>IF(($E56&gt;0),L56,L55)</f>
        <v>100</v>
      </c>
      <c r="M62" s="58"/>
    </row>
    <row r="63" spans="2:18" ht="15" hidden="1" customHeight="1" x14ac:dyDescent="0.25">
      <c r="B63" s="49" t="str">
        <f>IF(($E57&gt;0),B57,B55)</f>
        <v>per 100 youth petitioned</v>
      </c>
      <c r="C63" s="49">
        <f>IF(($E57&gt;0),C57,C56)</f>
        <v>0.33</v>
      </c>
      <c r="D63" s="49">
        <f>IF(($E57&gt;0),D57,D56)</f>
        <v>0.17</v>
      </c>
      <c r="E63" s="49">
        <f>MAX(C63:D63)</f>
        <v>0.33</v>
      </c>
      <c r="G63" s="1" t="str">
        <f>G57</f>
        <v>per 100 youth petitioned</v>
      </c>
      <c r="L63" s="58">
        <f>IF(($E57&gt;0),L57,L56)</f>
        <v>100</v>
      </c>
      <c r="M63" s="58"/>
    </row>
    <row r="64" spans="2:18" ht="15" hidden="1" customHeight="1" x14ac:dyDescent="0.25">
      <c r="B64" s="49" t="str">
        <f>IF(($E58&gt;0),B58,B57)</f>
        <v>per 100 youth found delinquent</v>
      </c>
      <c r="C64" s="49">
        <f>IF(($E58&gt;0),C58,C57)</f>
        <v>0.28000000000000003</v>
      </c>
      <c r="D64" s="49">
        <f>IF(($E58&gt;0),D58,D57)</f>
        <v>0.14000000000000001</v>
      </c>
      <c r="E64" s="56">
        <f>MAX(C64:D64)</f>
        <v>0.28000000000000003</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7.0010000000000003</v>
      </c>
      <c r="D66" s="56">
        <f>D60</f>
        <v>0.89600000000000002</v>
      </c>
      <c r="E66" s="56">
        <f>MAX(C66:D66)</f>
        <v>7.0010000000000003</v>
      </c>
      <c r="G66" s="1" t="str">
        <f>G60</f>
        <v>per 1000 youth</v>
      </c>
      <c r="L66" s="58">
        <f>L60</f>
        <v>1000</v>
      </c>
      <c r="M66" s="58">
        <f>IF((B66=G66),1,2)</f>
        <v>1</v>
      </c>
    </row>
    <row r="67" spans="2:13" ht="15" hidden="1" customHeight="1" x14ac:dyDescent="0.25">
      <c r="B67" s="49" t="str">
        <f t="shared" ref="B67:D68" si="12">IF(($E61&gt;0),B61,B60)</f>
        <v>per 100 arrests</v>
      </c>
      <c r="C67" s="49">
        <f t="shared" si="12"/>
        <v>0.11</v>
      </c>
      <c r="D67" s="49">
        <f t="shared" si="12"/>
        <v>0.01</v>
      </c>
      <c r="E67" s="49">
        <f>MAX(C67:D67)</f>
        <v>0.11</v>
      </c>
      <c r="G67" s="1" t="str">
        <f>G61</f>
        <v>per 100 arrests</v>
      </c>
      <c r="L67" s="58">
        <f>IF(($E61&gt;0),L61,L60)</f>
        <v>100</v>
      </c>
      <c r="M67" s="58">
        <f>IF((B67=G67),1,2)</f>
        <v>1</v>
      </c>
    </row>
    <row r="68" spans="2:13" ht="15" hidden="1" customHeight="1" x14ac:dyDescent="0.25">
      <c r="B68" s="49" t="str">
        <f t="shared" si="12"/>
        <v>per 100 referrals</v>
      </c>
      <c r="C68" s="49">
        <f t="shared" si="12"/>
        <v>0.53</v>
      </c>
      <c r="D68" s="49">
        <f t="shared" si="12"/>
        <v>0.3</v>
      </c>
      <c r="E68" s="49">
        <f>MAX(C68:D68)</f>
        <v>0.53</v>
      </c>
      <c r="G68" s="1" t="str">
        <f>G62</f>
        <v>per 100 referrals</v>
      </c>
      <c r="L68" s="58">
        <f>IF(($E62&gt;0),L62,L61)</f>
        <v>100</v>
      </c>
      <c r="M68" s="58">
        <f>IF((B68=G68),1,2)</f>
        <v>1</v>
      </c>
    </row>
    <row r="69" spans="2:13" ht="15" hidden="1" customHeight="1" x14ac:dyDescent="0.25">
      <c r="B69" s="49" t="str">
        <f>IF(($E63&gt;0),B63,B61)</f>
        <v>per 100 youth petitioned</v>
      </c>
      <c r="C69" s="49">
        <f>IF(($E63&gt;0),C63,C62)</f>
        <v>0.33</v>
      </c>
      <c r="D69" s="49">
        <f>IF(($E63&gt;0),D63,D62)</f>
        <v>0.17</v>
      </c>
      <c r="E69" s="49">
        <f>MAX(C69:D69)</f>
        <v>0.33</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0.28000000000000003</v>
      </c>
      <c r="D70" s="49">
        <f>IF(($E64&gt;0),D64,D63)</f>
        <v>0.14000000000000001</v>
      </c>
      <c r="E70" s="56">
        <f>MAX(C70:D70)</f>
        <v>0.28000000000000003</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8:G15">
    <cfRule type="expression" dxfId="92" priority="1" stopIfTrue="1">
      <formula>$L8=1</formula>
    </cfRule>
    <cfRule type="expression" dxfId="91" priority="2" stopIfTrue="1">
      <formula>$L8=2</formula>
    </cfRule>
    <cfRule type="expression" dxfId="90" priority="3" stopIfTrue="1">
      <formula>$L8&gt;3</formula>
    </cfRule>
  </conditionalFormatting>
  <conditionalFormatting sqref="F27">
    <cfRule type="expression" dxfId="89" priority="4" stopIfTrue="1">
      <formula>M66=2</formula>
    </cfRule>
  </conditionalFormatting>
  <conditionalFormatting sqref="F30">
    <cfRule type="expression" dxfId="88" priority="5" stopIfTrue="1">
      <formula>M68 = 2</formula>
    </cfRule>
  </conditionalFormatting>
  <conditionalFormatting sqref="F28">
    <cfRule type="expression" dxfId="87" priority="6" stopIfTrue="1">
      <formula>M67=2</formula>
    </cfRule>
  </conditionalFormatting>
  <conditionalFormatting sqref="F29">
    <cfRule type="expression" dxfId="86" priority="7" stopIfTrue="1">
      <formula>M68 = 2</formula>
    </cfRule>
  </conditionalFormatting>
  <conditionalFormatting sqref="F31">
    <cfRule type="expression" dxfId="85" priority="8" stopIfTrue="1">
      <formula>M68 = 2</formula>
    </cfRule>
  </conditionalFormatting>
  <conditionalFormatting sqref="F32:F33">
    <cfRule type="expression" dxfId="84" priority="9" stopIfTrue="1">
      <formula>M69=2</formula>
    </cfRule>
  </conditionalFormatting>
  <conditionalFormatting sqref="F34">
    <cfRule type="expression" dxfId="83" priority="10" stopIfTrue="1">
      <formula>M70 = 2</formula>
    </cfRule>
  </conditionalFormatting>
  <conditionalFormatting sqref="F35">
    <cfRule type="expression" dxfId="82" priority="11" stopIfTrue="1">
      <formula>M69=2</formula>
    </cfRule>
  </conditionalFormatting>
  <conditionalFormatting sqref="B86">
    <cfRule type="expression" dxfId="81" priority="12" stopIfTrue="1">
      <formula>$D$83= 2</formula>
    </cfRule>
  </conditionalFormatting>
  <conditionalFormatting sqref="G7">
    <cfRule type="expression" dxfId="80" priority="13" stopIfTrue="1">
      <formula>$L7=1</formula>
    </cfRule>
    <cfRule type="expression" dxfId="79" priority="14" stopIfTrue="1">
      <formula>$L7=2</formula>
    </cfRule>
    <cfRule type="expression" dxfId="78" priority="15" stopIfTrue="1">
      <formula>$L7&gt;3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x14ac:dyDescent="0.25">
      <c r="B1" s="16" t="s">
        <v>29</v>
      </c>
      <c r="D1" s="20" t="s">
        <v>30</v>
      </c>
      <c r="E1" s="14"/>
      <c r="F1" s="212" t="str">
        <f>'Data Entry'!F5</f>
        <v>Asian</v>
      </c>
      <c r="G1" s="212"/>
      <c r="H1" s="212"/>
      <c r="I1" s="212"/>
      <c r="J1" s="212"/>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Eaton</v>
      </c>
      <c r="C3" s="22"/>
      <c r="D3" s="22"/>
      <c r="E3" s="22"/>
      <c r="F3" s="22"/>
      <c r="G3" s="7"/>
      <c r="H3" s="7"/>
      <c r="I3" s="7"/>
      <c r="J3" s="7"/>
      <c r="K3" s="7"/>
      <c r="N3" s="211" t="s">
        <v>31</v>
      </c>
      <c r="O3" s="211"/>
      <c r="P3" s="211"/>
      <c r="Q3" s="211"/>
      <c r="R3" s="211"/>
      <c r="S3" s="211"/>
      <c r="T3" s="211"/>
      <c r="U3" s="211"/>
    </row>
    <row r="4" spans="2:21" ht="8.25" customHeight="1" x14ac:dyDescent="0.25">
      <c r="B4" s="4"/>
      <c r="C4" s="23"/>
      <c r="D4" s="23"/>
      <c r="E4" s="23"/>
      <c r="F4" s="23"/>
      <c r="G4" s="8"/>
      <c r="H4" s="8"/>
      <c r="I4" s="8"/>
      <c r="N4" s="211"/>
      <c r="O4" s="211"/>
      <c r="P4" s="211"/>
      <c r="Q4" s="211"/>
      <c r="R4" s="211"/>
      <c r="S4" s="211"/>
      <c r="T4" s="211"/>
      <c r="U4" s="211"/>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7001</v>
      </c>
      <c r="D6" s="34"/>
      <c r="E6" s="33">
        <f>'Data Entry'!F6</f>
        <v>221</v>
      </c>
      <c r="F6" s="34"/>
      <c r="G6" s="35"/>
      <c r="H6" s="36"/>
      <c r="I6" s="37"/>
      <c r="J6" s="38"/>
      <c r="K6" s="37"/>
      <c r="L6" s="1">
        <f>IF( ('Data Entry'!F6&gt;('Data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11</v>
      </c>
      <c r="D7" s="34">
        <f>IF((AND(C66&gt;0,C7&gt;0)),(C7/C66),0)</f>
        <v>1.571204113698043</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221</v>
      </c>
      <c r="P7" s="42">
        <f t="shared" ref="P7:P15" si="4">C7</f>
        <v>11</v>
      </c>
      <c r="Q7" s="42">
        <f>C6-C7</f>
        <v>6990</v>
      </c>
      <c r="R7" s="42">
        <f t="shared" ref="R7:R15" si="5">SUM(N7:Q7)</f>
        <v>7222</v>
      </c>
      <c r="S7" s="30">
        <f t="shared" ref="S7:S15" si="6">R7*((((N7*Q7)-(O7*P7))^2))</f>
        <v>42680293942</v>
      </c>
      <c r="T7" s="30">
        <f t="shared" ref="T7:T15" si="7">(N7+O7)*(P7+Q7)*(N7+P7)*(O7+Q7)</f>
        <v>122727116941</v>
      </c>
      <c r="U7" s="31">
        <f t="shared" ref="U7:U15" si="8">IF((S7&gt;0),S7/T7,"- -")</f>
        <v>0.34776579948927</v>
      </c>
    </row>
    <row r="8" spans="2:21" ht="18" customHeight="1" x14ac:dyDescent="0.25">
      <c r="B8" s="32" t="str">
        <f>'Data Entry'!A8</f>
        <v>3. Refer to Juvenile Court</v>
      </c>
      <c r="C8" s="33">
        <f>'Data Entry'!C8</f>
        <v>53</v>
      </c>
      <c r="D8" s="34">
        <f>IF((AND(C67&gt;0,C8&gt;0)),(C8/C67),0)</f>
        <v>481.81818181818181</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53</v>
      </c>
      <c r="Q8" s="42">
        <f>(C$67*L67)-C8</f>
        <v>-42</v>
      </c>
      <c r="R8" s="42">
        <f t="shared" si="5"/>
        <v>11.049999999999997</v>
      </c>
      <c r="S8" s="30">
        <f t="shared" si="6"/>
        <v>77.598624999999998</v>
      </c>
      <c r="T8" s="30">
        <f t="shared" si="7"/>
        <v>-1222.8425000000002</v>
      </c>
      <c r="U8" s="31">
        <f t="shared" si="8"/>
        <v>-6.3457579369379125E-2</v>
      </c>
    </row>
    <row r="9" spans="2:21" ht="18" customHeight="1" x14ac:dyDescent="0.25">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53</v>
      </c>
      <c r="R9" s="42">
        <f t="shared" si="5"/>
        <v>53</v>
      </c>
      <c r="S9" s="30">
        <f t="shared" si="6"/>
        <v>0</v>
      </c>
      <c r="T9" s="30">
        <f t="shared" si="7"/>
        <v>0</v>
      </c>
      <c r="U9" s="31" t="str">
        <f t="shared" si="8"/>
        <v>- -</v>
      </c>
    </row>
    <row r="10" spans="2:21" ht="18" customHeight="1" x14ac:dyDescent="0.25">
      <c r="B10" s="32" t="str">
        <f>'Data Entry'!A10</f>
        <v>5. Cases Involving Secure Detention</v>
      </c>
      <c r="C10" s="33">
        <f>'Data Entry'!C10</f>
        <v>1</v>
      </c>
      <c r="D10" s="34">
        <f>IF(((AND(C68&gt;0,C10&gt;0))),(C10/(C68)),0)</f>
        <v>1.8867924528301885</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v>
      </c>
      <c r="Q10" s="42">
        <f>(C$68*L68)-C10</f>
        <v>52</v>
      </c>
      <c r="R10" s="42">
        <f t="shared" si="5"/>
        <v>53</v>
      </c>
      <c r="S10" s="30">
        <f t="shared" si="6"/>
        <v>0</v>
      </c>
      <c r="T10" s="30">
        <f t="shared" si="7"/>
        <v>0</v>
      </c>
      <c r="U10" s="31" t="str">
        <f t="shared" si="8"/>
        <v>- -</v>
      </c>
    </row>
    <row r="11" spans="2:21" ht="18" customHeight="1" x14ac:dyDescent="0.25">
      <c r="B11" s="32" t="str">
        <f>'Data Entry'!A11</f>
        <v>6. Cases Petitioned (Charge Filed)</v>
      </c>
      <c r="C11" s="33">
        <f>'Data Entry'!C11</f>
        <v>33</v>
      </c>
      <c r="D11" s="34">
        <f>IF(((AND(C68&gt;0,C11&gt;0))),(C11/(C68)),0)</f>
        <v>62.264150943396224</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33</v>
      </c>
      <c r="Q11" s="42">
        <f>(C$68*L68)-C11</f>
        <v>20</v>
      </c>
      <c r="R11" s="42">
        <f t="shared" si="5"/>
        <v>53</v>
      </c>
      <c r="S11" s="30">
        <f t="shared" si="6"/>
        <v>0</v>
      </c>
      <c r="T11" s="30">
        <f t="shared" si="7"/>
        <v>0</v>
      </c>
      <c r="U11" s="31" t="str">
        <f t="shared" si="8"/>
        <v>- -</v>
      </c>
    </row>
    <row r="12" spans="2:21" ht="18" customHeight="1" x14ac:dyDescent="0.25">
      <c r="B12" s="32" t="str">
        <f>'Data Entry'!A12</f>
        <v>7. Cases Resulting in Delinquent Findings</v>
      </c>
      <c r="C12" s="33">
        <f>'Data Entry'!C12</f>
        <v>28</v>
      </c>
      <c r="D12" s="34">
        <f>IF(((AND(C69&gt;0,C12&gt;0))),(C12/(C69)),0)</f>
        <v>84.848484848484844</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28</v>
      </c>
      <c r="Q12" s="42">
        <f>(C69*L69)-C12</f>
        <v>5</v>
      </c>
      <c r="R12" s="42">
        <f t="shared" si="5"/>
        <v>33</v>
      </c>
      <c r="S12" s="30">
        <f t="shared" si="6"/>
        <v>0</v>
      </c>
      <c r="T12" s="30">
        <f t="shared" si="7"/>
        <v>0</v>
      </c>
      <c r="U12" s="31" t="str">
        <f t="shared" si="8"/>
        <v>- -</v>
      </c>
    </row>
    <row r="13" spans="2:21" ht="18" customHeight="1" x14ac:dyDescent="0.25">
      <c r="B13" s="32" t="str">
        <f>'Data Entry'!A13</f>
        <v>8. Cases Resulting in Probation Placement</v>
      </c>
      <c r="C13" s="33">
        <f>'Data Entry'!C13</f>
        <v>27</v>
      </c>
      <c r="D13" s="34">
        <f>IF(((AND(C70&gt;0,C13&gt;0))),(C13/(C70)),0)</f>
        <v>96.428571428571416</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27</v>
      </c>
      <c r="Q13" s="42">
        <f>(C70*L70)-C13</f>
        <v>1.0000000000000036</v>
      </c>
      <c r="R13" s="42">
        <f t="shared" si="5"/>
        <v>28.000000000000004</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3</v>
      </c>
      <c r="D14" s="34">
        <f>IF(((AND(C70&gt;0,C14&gt;0))), ((C14/(C70))),0)</f>
        <v>10.714285714285714</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3</v>
      </c>
      <c r="Q14" s="42">
        <f>(C70*L70)-C14</f>
        <v>25.000000000000004</v>
      </c>
      <c r="R14" s="42">
        <f t="shared" si="5"/>
        <v>28.000000000000004</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33</v>
      </c>
      <c r="R15" s="42">
        <f t="shared" si="5"/>
        <v>33</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0" t="s">
        <v>79</v>
      </c>
      <c r="C40" s="210"/>
      <c r="D40" s="210"/>
      <c r="E40" s="210"/>
      <c r="F40" s="210"/>
      <c r="G40" s="210"/>
      <c r="H40" s="210"/>
      <c r="I40" s="210"/>
      <c r="J40" s="210"/>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7.0010000000000003</v>
      </c>
      <c r="D42" s="56">
        <f>E6/1000</f>
        <v>0.221</v>
      </c>
      <c r="E42" s="56">
        <f>MAX(C42:D42)</f>
        <v>7.0010000000000003</v>
      </c>
      <c r="G42" s="1" t="str">
        <f>B42</f>
        <v>per 1000 youth</v>
      </c>
      <c r="L42" s="57">
        <v>1000</v>
      </c>
      <c r="M42" s="57"/>
      <c r="R42" s="49"/>
    </row>
    <row r="43" spans="2:18" ht="15" hidden="1" customHeight="1" x14ac:dyDescent="0.25">
      <c r="B43" s="49" t="s">
        <v>87</v>
      </c>
      <c r="C43" s="56">
        <f>C7/100</f>
        <v>0.11</v>
      </c>
      <c r="D43" s="56">
        <f>E7/100</f>
        <v>0</v>
      </c>
      <c r="E43" s="56">
        <f>MAX(C43:D43,0)</f>
        <v>0.11</v>
      </c>
      <c r="G43" s="1" t="str">
        <f>B43</f>
        <v>per 100 arrests</v>
      </c>
      <c r="L43" s="57">
        <v>100</v>
      </c>
      <c r="M43" s="57"/>
      <c r="R43" s="49"/>
    </row>
    <row r="44" spans="2:18" ht="15" hidden="1" customHeight="1" x14ac:dyDescent="0.25">
      <c r="B44" s="49" t="s">
        <v>88</v>
      </c>
      <c r="C44" s="56">
        <f>C8/100</f>
        <v>0.53</v>
      </c>
      <c r="D44" s="56">
        <f>E8/100</f>
        <v>0</v>
      </c>
      <c r="E44" s="56">
        <f>MAX(C44:D44,0)</f>
        <v>0.53</v>
      </c>
      <c r="G44" s="1" t="str">
        <f>B44</f>
        <v>per 100 referrals</v>
      </c>
      <c r="L44" s="57">
        <v>100</v>
      </c>
      <c r="M44" s="57"/>
      <c r="R44" s="49"/>
    </row>
    <row r="45" spans="2:18" ht="15" hidden="1" customHeight="1" x14ac:dyDescent="0.25">
      <c r="B45" s="49" t="s">
        <v>89</v>
      </c>
      <c r="C45" s="49">
        <f>C11/100</f>
        <v>0.33</v>
      </c>
      <c r="D45" s="49">
        <f>E11/100</f>
        <v>0</v>
      </c>
      <c r="E45" s="56">
        <f>MAX(C45:D45,0)</f>
        <v>0.33</v>
      </c>
      <c r="G45" s="1" t="str">
        <f>B45</f>
        <v>per 100 youth petitioned</v>
      </c>
      <c r="L45" s="57">
        <v>100</v>
      </c>
      <c r="M45" s="57"/>
      <c r="R45" s="49"/>
    </row>
    <row r="46" spans="2:18" ht="15" hidden="1" customHeight="1" x14ac:dyDescent="0.25">
      <c r="B46" s="49" t="s">
        <v>90</v>
      </c>
      <c r="C46" s="49">
        <f>C12/100</f>
        <v>0.28000000000000003</v>
      </c>
      <c r="D46" s="49">
        <f>E12/100</f>
        <v>0</v>
      </c>
      <c r="E46" s="56">
        <f>MAX(C46:D46)</f>
        <v>0.28000000000000003</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7.0010000000000003</v>
      </c>
      <c r="D48" s="56">
        <f>D42</f>
        <v>0.221</v>
      </c>
      <c r="E48" s="56">
        <f>MAX(C48:D48)</f>
        <v>7.0010000000000003</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0.11</v>
      </c>
      <c r="D49" s="49">
        <f t="shared" si="9"/>
        <v>0</v>
      </c>
      <c r="E49" s="49">
        <f>MAX(C49:D49)</f>
        <v>0.11</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0.53</v>
      </c>
      <c r="D50" s="49">
        <f t="shared" si="9"/>
        <v>0</v>
      </c>
      <c r="E50" s="49">
        <f>MAX(C50:D50)</f>
        <v>0.53</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0.33</v>
      </c>
      <c r="D51" s="49">
        <f>IF(($E45&gt;0),D45,D44)</f>
        <v>0</v>
      </c>
      <c r="E51" s="49">
        <f>MAX(C51:D51)</f>
        <v>0.33</v>
      </c>
      <c r="G51" s="1" t="str">
        <f>G45</f>
        <v>per 100 youth petitioned</v>
      </c>
      <c r="L51" s="58">
        <f>IF(($E45&gt;0),L45,L44)</f>
        <v>100</v>
      </c>
      <c r="M51" s="58"/>
    </row>
    <row r="52" spans="2:18" ht="15" hidden="1" customHeight="1" x14ac:dyDescent="0.25">
      <c r="B52" s="49" t="str">
        <f>IF(($E46&gt;0),B46,B45)</f>
        <v>per 100 youth found delinquent</v>
      </c>
      <c r="C52" s="49">
        <f>IF(($E46&gt;0),C46,C45)</f>
        <v>0.28000000000000003</v>
      </c>
      <c r="D52" s="49">
        <f>IF(($E46&gt;0),D46,D45)</f>
        <v>0</v>
      </c>
      <c r="E52" s="56">
        <f>MAX(C52:D52)</f>
        <v>0.28000000000000003</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7.0010000000000003</v>
      </c>
      <c r="D54" s="56">
        <f>D48</f>
        <v>0.221</v>
      </c>
      <c r="E54" s="56">
        <f>MAX(C54:D54)</f>
        <v>7.0010000000000003</v>
      </c>
      <c r="G54" s="1" t="str">
        <f>G48</f>
        <v>per 1000 youth</v>
      </c>
      <c r="L54" s="58">
        <f>L48</f>
        <v>1000</v>
      </c>
      <c r="M54" s="58"/>
    </row>
    <row r="55" spans="2:18" ht="15" hidden="1" customHeight="1" x14ac:dyDescent="0.25">
      <c r="B55" s="49" t="str">
        <f t="shared" ref="B55:D56" si="10">IF(($E49&gt;0),B49,B48)</f>
        <v>per 100 arrests</v>
      </c>
      <c r="C55" s="49">
        <f t="shared" si="10"/>
        <v>0.11</v>
      </c>
      <c r="D55" s="49">
        <f t="shared" si="10"/>
        <v>0</v>
      </c>
      <c r="E55" s="49">
        <f>MAX(C55:D55)</f>
        <v>0.11</v>
      </c>
      <c r="G55" s="1" t="str">
        <f>G49</f>
        <v>per 100 arrests</v>
      </c>
      <c r="L55" s="58">
        <f>IF(($E49&gt;0),L49,L48)</f>
        <v>100</v>
      </c>
      <c r="M55" s="58"/>
    </row>
    <row r="56" spans="2:18" ht="15" hidden="1" customHeight="1" x14ac:dyDescent="0.25">
      <c r="B56" s="49" t="str">
        <f t="shared" si="10"/>
        <v>per 100 referrals</v>
      </c>
      <c r="C56" s="49">
        <f t="shared" si="10"/>
        <v>0.53</v>
      </c>
      <c r="D56" s="49">
        <f t="shared" si="10"/>
        <v>0</v>
      </c>
      <c r="E56" s="49">
        <f>MAX(C56:D56)</f>
        <v>0.53</v>
      </c>
      <c r="G56" s="1" t="str">
        <f>G50</f>
        <v>per 100 referrals</v>
      </c>
      <c r="L56" s="58">
        <f>IF(($E50&gt;0),L50,L49)</f>
        <v>100</v>
      </c>
      <c r="M56" s="58"/>
    </row>
    <row r="57" spans="2:18" ht="15" hidden="1" customHeight="1" x14ac:dyDescent="0.25">
      <c r="B57" s="49" t="str">
        <f>IF(($E51&gt;0),B51,B49)</f>
        <v>per 100 youth petitioned</v>
      </c>
      <c r="C57" s="49">
        <f>IF(($E51&gt;0),C51,C50)</f>
        <v>0.33</v>
      </c>
      <c r="D57" s="49">
        <f>IF(($E51&gt;0),D51,D50)</f>
        <v>0</v>
      </c>
      <c r="E57" s="49">
        <f>MAX(C57:D57)</f>
        <v>0.33</v>
      </c>
      <c r="G57" s="1" t="str">
        <f>G51</f>
        <v>per 100 youth petitioned</v>
      </c>
      <c r="L57" s="58">
        <f>IF(($E51&gt;0),L51,L50)</f>
        <v>100</v>
      </c>
      <c r="M57" s="58"/>
    </row>
    <row r="58" spans="2:18" ht="15" hidden="1" customHeight="1" x14ac:dyDescent="0.25">
      <c r="B58" s="49" t="str">
        <f>IF(($E52&gt;0),B52,B51)</f>
        <v>per 100 youth found delinquent</v>
      </c>
      <c r="C58" s="49">
        <f>IF(($E52&gt;0),C52,C51)</f>
        <v>0.28000000000000003</v>
      </c>
      <c r="D58" s="49">
        <f>IF(($E52&gt;0),D52,D51)</f>
        <v>0</v>
      </c>
      <c r="E58" s="56">
        <f>MAX(C58:D58)</f>
        <v>0.28000000000000003</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7.0010000000000003</v>
      </c>
      <c r="D60" s="56">
        <f>D54</f>
        <v>0.221</v>
      </c>
      <c r="E60" s="56">
        <f>MAX(C60:D60)</f>
        <v>7.0010000000000003</v>
      </c>
      <c r="G60" s="1" t="str">
        <f>G54</f>
        <v>per 1000 youth</v>
      </c>
      <c r="L60" s="58">
        <f>L54</f>
        <v>1000</v>
      </c>
      <c r="M60" s="58"/>
    </row>
    <row r="61" spans="2:18" ht="15" hidden="1" customHeight="1" x14ac:dyDescent="0.25">
      <c r="B61" s="49" t="str">
        <f t="shared" ref="B61:D62" si="11">IF(($E55&gt;0),B55,B54)</f>
        <v>per 100 arrests</v>
      </c>
      <c r="C61" s="49">
        <f t="shared" si="11"/>
        <v>0.11</v>
      </c>
      <c r="D61" s="49">
        <f t="shared" si="11"/>
        <v>0</v>
      </c>
      <c r="E61" s="49">
        <f>MAX(C61:D61)</f>
        <v>0.11</v>
      </c>
      <c r="G61" s="1" t="str">
        <f>G55</f>
        <v>per 100 arrests</v>
      </c>
      <c r="L61" s="58">
        <f>IF(($E55&gt;0),L55,L54)</f>
        <v>100</v>
      </c>
      <c r="M61" s="58"/>
    </row>
    <row r="62" spans="2:18" ht="15" hidden="1" customHeight="1" x14ac:dyDescent="0.25">
      <c r="B62" s="49" t="str">
        <f t="shared" si="11"/>
        <v>per 100 referrals</v>
      </c>
      <c r="C62" s="49">
        <f t="shared" si="11"/>
        <v>0.53</v>
      </c>
      <c r="D62" s="49">
        <f t="shared" si="11"/>
        <v>0</v>
      </c>
      <c r="E62" s="49">
        <f>MAX(C62:D62)</f>
        <v>0.53</v>
      </c>
      <c r="G62" s="1" t="str">
        <f>G56</f>
        <v>per 100 referrals</v>
      </c>
      <c r="L62" s="58">
        <f>IF(($E56&gt;0),L56,L55)</f>
        <v>100</v>
      </c>
      <c r="M62" s="58"/>
    </row>
    <row r="63" spans="2:18" ht="15" hidden="1" customHeight="1" x14ac:dyDescent="0.25">
      <c r="B63" s="49" t="str">
        <f>IF(($E57&gt;0),B57,B55)</f>
        <v>per 100 youth petitioned</v>
      </c>
      <c r="C63" s="49">
        <f>IF(($E57&gt;0),C57,C56)</f>
        <v>0.33</v>
      </c>
      <c r="D63" s="49">
        <f>IF(($E57&gt;0),D57,D56)</f>
        <v>0</v>
      </c>
      <c r="E63" s="49">
        <f>MAX(C63:D63)</f>
        <v>0.33</v>
      </c>
      <c r="G63" s="1" t="str">
        <f>G57</f>
        <v>per 100 youth petitioned</v>
      </c>
      <c r="L63" s="58">
        <f>IF(($E57&gt;0),L57,L56)</f>
        <v>100</v>
      </c>
      <c r="M63" s="58"/>
    </row>
    <row r="64" spans="2:18" ht="15" hidden="1" customHeight="1" x14ac:dyDescent="0.25">
      <c r="B64" s="49" t="str">
        <f>IF(($E58&gt;0),B58,B57)</f>
        <v>per 100 youth found delinquent</v>
      </c>
      <c r="C64" s="49">
        <f>IF(($E58&gt;0),C58,C57)</f>
        <v>0.28000000000000003</v>
      </c>
      <c r="D64" s="49">
        <f>IF(($E58&gt;0),D58,D57)</f>
        <v>0</v>
      </c>
      <c r="E64" s="56">
        <f>MAX(C64:D64)</f>
        <v>0.28000000000000003</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7.0010000000000003</v>
      </c>
      <c r="D66" s="56">
        <f>D60</f>
        <v>0.221</v>
      </c>
      <c r="E66" s="56">
        <f>MAX(C66:D66)</f>
        <v>7.0010000000000003</v>
      </c>
      <c r="G66" s="1" t="str">
        <f>G60</f>
        <v>per 1000 youth</v>
      </c>
      <c r="L66" s="58">
        <f>L60</f>
        <v>1000</v>
      </c>
      <c r="M66" s="58">
        <f>IF((B66=G66),1,2)</f>
        <v>1</v>
      </c>
    </row>
    <row r="67" spans="2:13" ht="15" hidden="1" customHeight="1" x14ac:dyDescent="0.25">
      <c r="B67" s="49" t="str">
        <f t="shared" ref="B67:D68" si="12">IF(($E61&gt;0),B61,B60)</f>
        <v>per 100 arrests</v>
      </c>
      <c r="C67" s="49">
        <f t="shared" si="12"/>
        <v>0.11</v>
      </c>
      <c r="D67" s="49">
        <f t="shared" si="12"/>
        <v>0</v>
      </c>
      <c r="E67" s="49">
        <f>MAX(C67:D67)</f>
        <v>0.11</v>
      </c>
      <c r="G67" s="1" t="str">
        <f>G61</f>
        <v>per 100 arrests</v>
      </c>
      <c r="L67" s="58">
        <f>IF(($E61&gt;0),L61,L60)</f>
        <v>100</v>
      </c>
      <c r="M67" s="58">
        <f>IF((B67=G67),1,2)</f>
        <v>1</v>
      </c>
    </row>
    <row r="68" spans="2:13" ht="15" hidden="1" customHeight="1" x14ac:dyDescent="0.25">
      <c r="B68" s="49" t="str">
        <f t="shared" si="12"/>
        <v>per 100 referrals</v>
      </c>
      <c r="C68" s="49">
        <f t="shared" si="12"/>
        <v>0.53</v>
      </c>
      <c r="D68" s="49">
        <f t="shared" si="12"/>
        <v>0</v>
      </c>
      <c r="E68" s="49">
        <f>MAX(C68:D68)</f>
        <v>0.53</v>
      </c>
      <c r="G68" s="1" t="str">
        <f>G62</f>
        <v>per 100 referrals</v>
      </c>
      <c r="L68" s="58">
        <f>IF(($E62&gt;0),L62,L61)</f>
        <v>100</v>
      </c>
      <c r="M68" s="58">
        <f>IF((B68=G68),1,2)</f>
        <v>1</v>
      </c>
    </row>
    <row r="69" spans="2:13" ht="15" hidden="1" customHeight="1" x14ac:dyDescent="0.25">
      <c r="B69" s="49" t="str">
        <f>IF(($E63&gt;0),B63,B61)</f>
        <v>per 100 youth petitioned</v>
      </c>
      <c r="C69" s="49">
        <f>IF(($E63&gt;0),C63,C62)</f>
        <v>0.33</v>
      </c>
      <c r="D69" s="49">
        <f>IF(($E63&gt;0),D63,D62)</f>
        <v>0</v>
      </c>
      <c r="E69" s="49">
        <f>MAX(C69:D69)</f>
        <v>0.33</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0.28000000000000003</v>
      </c>
      <c r="D70" s="49">
        <f>IF(($E64&gt;0),D64,D63)</f>
        <v>0</v>
      </c>
      <c r="E70" s="56">
        <f>MAX(C70:D70)</f>
        <v>0.28000000000000003</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77" priority="1" stopIfTrue="1">
      <formula>$L7=1</formula>
    </cfRule>
    <cfRule type="expression" dxfId="76" priority="2" stopIfTrue="1">
      <formula>$L7=2</formula>
    </cfRule>
    <cfRule type="expression" dxfId="75" priority="3" stopIfTrue="1">
      <formula>$L7&gt;3</formula>
    </cfRule>
  </conditionalFormatting>
  <conditionalFormatting sqref="B86">
    <cfRule type="expression" dxfId="74" priority="4" stopIfTrue="1">
      <formula>$D$83= 2</formula>
    </cfRule>
  </conditionalFormatting>
  <conditionalFormatting sqref="F28">
    <cfRule type="expression" dxfId="73" priority="5" stopIfTrue="1">
      <formula>M67=2</formula>
    </cfRule>
  </conditionalFormatting>
  <conditionalFormatting sqref="F27">
    <cfRule type="expression" dxfId="72" priority="6" stopIfTrue="1">
      <formula>M66=2</formula>
    </cfRule>
  </conditionalFormatting>
  <conditionalFormatting sqref="F29">
    <cfRule type="expression" dxfId="71" priority="7" stopIfTrue="1">
      <formula>M68 = 2</formula>
    </cfRule>
  </conditionalFormatting>
  <conditionalFormatting sqref="F30">
    <cfRule type="expression" dxfId="70" priority="8" stopIfTrue="1">
      <formula>M68 = 2</formula>
    </cfRule>
  </conditionalFormatting>
  <conditionalFormatting sqref="F31">
    <cfRule type="expression" dxfId="69" priority="9" stopIfTrue="1">
      <formula>M68 = 2</formula>
    </cfRule>
  </conditionalFormatting>
  <conditionalFormatting sqref="F32:F33">
    <cfRule type="expression" dxfId="68" priority="10" stopIfTrue="1">
      <formula>M69=2</formula>
    </cfRule>
  </conditionalFormatting>
  <conditionalFormatting sqref="F34">
    <cfRule type="expression" dxfId="67" priority="11" stopIfTrue="1">
      <formula>M70 = 2</formula>
    </cfRule>
  </conditionalFormatting>
  <conditionalFormatting sqref="F35">
    <cfRule type="expression" dxfId="66" priority="12" stopIfTrue="1">
      <formula>M69=2</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x14ac:dyDescent="0.25">
      <c r="B1" s="16" t="s">
        <v>29</v>
      </c>
      <c r="D1" s="20" t="s">
        <v>30</v>
      </c>
      <c r="E1" s="14"/>
      <c r="F1" s="212" t="str">
        <f>'Data Entry'!E5</f>
        <v>Hispanic or Latino</v>
      </c>
      <c r="G1" s="212"/>
      <c r="H1" s="212"/>
      <c r="I1" s="212"/>
      <c r="J1" s="212"/>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Eaton</v>
      </c>
      <c r="C3" s="22"/>
      <c r="D3" s="22"/>
      <c r="E3" s="22"/>
      <c r="F3" s="22"/>
      <c r="G3" s="7"/>
      <c r="H3" s="7"/>
      <c r="I3" s="7"/>
      <c r="J3" s="7"/>
      <c r="K3" s="7"/>
      <c r="N3" s="211" t="s">
        <v>31</v>
      </c>
      <c r="O3" s="211"/>
      <c r="P3" s="211"/>
      <c r="Q3" s="211"/>
      <c r="R3" s="211"/>
      <c r="S3" s="211"/>
      <c r="T3" s="211"/>
      <c r="U3" s="211"/>
    </row>
    <row r="4" spans="2:21" ht="24.75" customHeight="1" x14ac:dyDescent="0.25">
      <c r="B4" s="4"/>
      <c r="C4" s="23"/>
      <c r="D4" s="23"/>
      <c r="E4" s="23"/>
      <c r="F4" s="23"/>
      <c r="G4" s="8"/>
      <c r="H4" s="8"/>
      <c r="I4" s="8"/>
      <c r="N4" s="211"/>
      <c r="O4" s="211"/>
      <c r="P4" s="211"/>
      <c r="Q4" s="211"/>
      <c r="R4" s="211"/>
      <c r="S4" s="211"/>
      <c r="T4" s="211"/>
      <c r="U4" s="211"/>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7001</v>
      </c>
      <c r="D6" s="34"/>
      <c r="E6" s="33">
        <f>'Data Entry'!E6</f>
        <v>760</v>
      </c>
      <c r="F6" s="34"/>
      <c r="G6" s="35"/>
      <c r="H6" s="36"/>
      <c r="I6" s="37"/>
      <c r="J6" s="38"/>
      <c r="K6" s="37"/>
      <c r="L6" s="1">
        <f>IF( ('Data Entry'!E6&gt;('Data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11</v>
      </c>
      <c r="D7" s="34">
        <f>IF((AND(C66&gt;0,C7&gt;0)),(C7/C66),0)</f>
        <v>1.571204113698043</v>
      </c>
      <c r="E7" s="33">
        <f>'Data Entry'!E7</f>
        <v>1</v>
      </c>
      <c r="F7" s="34">
        <f>IF((AND($E$7&gt;0,$D$66&gt;0)),($E$7/$D$66),0)</f>
        <v>1.3157894736842106</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1</v>
      </c>
      <c r="O7" s="42">
        <f>E6-E7</f>
        <v>759</v>
      </c>
      <c r="P7" s="42">
        <f t="shared" ref="P7:P15" si="4">C7</f>
        <v>11</v>
      </c>
      <c r="Q7" s="42">
        <f>C6-C7</f>
        <v>6990</v>
      </c>
      <c r="R7" s="42">
        <f t="shared" ref="R7:R15" si="5">SUM(N7:Q7)</f>
        <v>7761</v>
      </c>
      <c r="S7" s="30">
        <f t="shared" ref="S7:S15" si="6">R7*((((N7*Q7)-(O7*P7))^2))</f>
        <v>14333643441</v>
      </c>
      <c r="T7" s="30">
        <f t="shared" ref="T7:T15" si="7">(N7+O7)*(P7+Q7)*(N7+P7)*(O7+Q7)</f>
        <v>494766830880</v>
      </c>
      <c r="U7" s="31">
        <f t="shared" ref="U7:U15" si="8">IF((S7&gt;0),S7/T7,"- -")</f>
        <v>2.8970501954437726E-2</v>
      </c>
    </row>
    <row r="8" spans="2:21" ht="18" customHeight="1" x14ac:dyDescent="0.25">
      <c r="B8" s="32" t="str">
        <f>'Data Entry'!A8</f>
        <v>3. Refer to Juvenile Court</v>
      </c>
      <c r="C8" s="33">
        <f>'Data Entry'!C8</f>
        <v>53</v>
      </c>
      <c r="D8" s="34">
        <f>IF((AND(C67&gt;0,C8&gt;0)),(C8/C67),0)</f>
        <v>481.81818181818181</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1.05</v>
      </c>
      <c r="P8" s="42">
        <f t="shared" si="4"/>
        <v>53</v>
      </c>
      <c r="Q8" s="42">
        <f>(C$67*L67)-C8</f>
        <v>-42</v>
      </c>
      <c r="R8" s="42">
        <f t="shared" si="5"/>
        <v>12.049999999999997</v>
      </c>
      <c r="S8" s="30">
        <f t="shared" si="6"/>
        <v>37317.916124999996</v>
      </c>
      <c r="T8" s="30">
        <f t="shared" si="7"/>
        <v>-25067.542500000007</v>
      </c>
      <c r="U8" s="31">
        <f t="shared" si="8"/>
        <v>-1.488694638694638</v>
      </c>
    </row>
    <row r="9" spans="2:21" ht="18" customHeight="1" x14ac:dyDescent="0.25">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53</v>
      </c>
      <c r="R9" s="42">
        <f t="shared" si="5"/>
        <v>53</v>
      </c>
      <c r="S9" s="30">
        <f t="shared" si="6"/>
        <v>0</v>
      </c>
      <c r="T9" s="30">
        <f t="shared" si="7"/>
        <v>0</v>
      </c>
      <c r="U9" s="31" t="str">
        <f t="shared" si="8"/>
        <v>- -</v>
      </c>
    </row>
    <row r="10" spans="2:21" ht="18" customHeight="1" x14ac:dyDescent="0.25">
      <c r="B10" s="32" t="str">
        <f>'Data Entry'!A10</f>
        <v>5. Cases Involving Secure Detention</v>
      </c>
      <c r="C10" s="33">
        <f>'Data Entry'!C10</f>
        <v>1</v>
      </c>
      <c r="D10" s="34">
        <f>IF(((AND(C68&gt;0,C10&gt;0))),(C10/(C68)),0)</f>
        <v>1.8867924528301885</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v>
      </c>
      <c r="Q10" s="42">
        <f>(C$68*L68)-C10</f>
        <v>52</v>
      </c>
      <c r="R10" s="42">
        <f t="shared" si="5"/>
        <v>53</v>
      </c>
      <c r="S10" s="30">
        <f t="shared" si="6"/>
        <v>0</v>
      </c>
      <c r="T10" s="30">
        <f t="shared" si="7"/>
        <v>0</v>
      </c>
      <c r="U10" s="31" t="str">
        <f t="shared" si="8"/>
        <v>- -</v>
      </c>
    </row>
    <row r="11" spans="2:21" ht="18" customHeight="1" x14ac:dyDescent="0.25">
      <c r="B11" s="32" t="str">
        <f>'Data Entry'!A11</f>
        <v>6. Cases Petitioned (Charge Filed)</v>
      </c>
      <c r="C11" s="33">
        <f>'Data Entry'!C11</f>
        <v>33</v>
      </c>
      <c r="D11" s="34">
        <f>IF(((AND(C68&gt;0,C11&gt;0))),(C11/(C68)),0)</f>
        <v>62.264150943396224</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33</v>
      </c>
      <c r="Q11" s="42">
        <f>(C$68*L68)-C11</f>
        <v>20</v>
      </c>
      <c r="R11" s="42">
        <f t="shared" si="5"/>
        <v>53</v>
      </c>
      <c r="S11" s="30">
        <f t="shared" si="6"/>
        <v>0</v>
      </c>
      <c r="T11" s="30">
        <f t="shared" si="7"/>
        <v>0</v>
      </c>
      <c r="U11" s="31" t="str">
        <f t="shared" si="8"/>
        <v>- -</v>
      </c>
    </row>
    <row r="12" spans="2:21" ht="18" customHeight="1" x14ac:dyDescent="0.25">
      <c r="B12" s="32" t="str">
        <f>'Data Entry'!A12</f>
        <v>7. Cases Resulting in Delinquent Findings</v>
      </c>
      <c r="C12" s="33">
        <f>'Data Entry'!C12</f>
        <v>28</v>
      </c>
      <c r="D12" s="34">
        <f>IF(((AND(C69&gt;0,C12&gt;0))),(C12/(C69)),0)</f>
        <v>84.848484848484844</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28</v>
      </c>
      <c r="Q12" s="42">
        <f>(C69*L69)-C12</f>
        <v>5</v>
      </c>
      <c r="R12" s="42">
        <f t="shared" si="5"/>
        <v>33</v>
      </c>
      <c r="S12" s="30">
        <f t="shared" si="6"/>
        <v>0</v>
      </c>
      <c r="T12" s="30">
        <f t="shared" si="7"/>
        <v>0</v>
      </c>
      <c r="U12" s="31" t="str">
        <f t="shared" si="8"/>
        <v>- -</v>
      </c>
    </row>
    <row r="13" spans="2:21" ht="18" customHeight="1" x14ac:dyDescent="0.25">
      <c r="B13" s="32" t="str">
        <f>'Data Entry'!A13</f>
        <v>8. Cases Resulting in Probation Placement</v>
      </c>
      <c r="C13" s="33">
        <f>'Data Entry'!C13</f>
        <v>27</v>
      </c>
      <c r="D13" s="34">
        <f>IF(((AND(C70&gt;0,C13&gt;0))),(C13/(C70)),0)</f>
        <v>96.428571428571416</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27</v>
      </c>
      <c r="Q13" s="42">
        <f>(C70*L70)-C13</f>
        <v>1.0000000000000036</v>
      </c>
      <c r="R13" s="42">
        <f t="shared" si="5"/>
        <v>28.000000000000004</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3</v>
      </c>
      <c r="D14" s="34">
        <f>IF(((AND(C70&gt;0,C14&gt;0))), ((C14/(C70))),0)</f>
        <v>10.714285714285714</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3</v>
      </c>
      <c r="Q14" s="42">
        <f>(C70*L70)-C14</f>
        <v>25.000000000000004</v>
      </c>
      <c r="R14" s="42">
        <f t="shared" si="5"/>
        <v>28.000000000000004</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33</v>
      </c>
      <c r="R15" s="42">
        <f t="shared" si="5"/>
        <v>33</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1.25" customHeight="1" x14ac:dyDescent="0.25">
      <c r="B24" s="62"/>
      <c r="C24" s="62"/>
      <c r="D24" s="62"/>
      <c r="E24" s="62"/>
      <c r="F24" s="62"/>
      <c r="G24" s="62"/>
      <c r="H24" s="62"/>
      <c r="I24" s="62"/>
      <c r="K24" s="1" t="s">
        <v>92</v>
      </c>
      <c r="L24" s="1" t="s">
        <v>93</v>
      </c>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customHeight="1" x14ac:dyDescent="0.25">
      <c r="R37" s="49"/>
    </row>
    <row r="38" spans="2:18" ht="15" customHeight="1" x14ac:dyDescent="0.25">
      <c r="R38" s="49"/>
    </row>
    <row r="39" spans="2:18" ht="15" customHeight="1" x14ac:dyDescent="0.25">
      <c r="R39" s="49"/>
    </row>
    <row r="40" spans="2:18" ht="30.75" hidden="1" customHeight="1" x14ac:dyDescent="0.25">
      <c r="B40" s="210" t="s">
        <v>79</v>
      </c>
      <c r="C40" s="210"/>
      <c r="D40" s="210"/>
      <c r="E40" s="210"/>
      <c r="F40" s="210"/>
      <c r="G40" s="210"/>
      <c r="H40" s="210"/>
      <c r="I40" s="210"/>
      <c r="J40" s="210"/>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7.0010000000000003</v>
      </c>
      <c r="D42" s="56">
        <f>E6/1000</f>
        <v>0.76</v>
      </c>
      <c r="E42" s="56">
        <f>MAX(C42:D42)</f>
        <v>7.0010000000000003</v>
      </c>
      <c r="G42" s="1" t="str">
        <f>B42</f>
        <v>per 1000 youth</v>
      </c>
      <c r="L42" s="57">
        <v>1000</v>
      </c>
      <c r="M42" s="57"/>
      <c r="R42" s="49"/>
    </row>
    <row r="43" spans="2:18" ht="15" hidden="1" customHeight="1" x14ac:dyDescent="0.25">
      <c r="B43" s="49" t="s">
        <v>87</v>
      </c>
      <c r="C43" s="56">
        <f>C7/100</f>
        <v>0.11</v>
      </c>
      <c r="D43" s="56">
        <f>E7/100</f>
        <v>0.01</v>
      </c>
      <c r="E43" s="56">
        <f>MAX(C43:D43,0)</f>
        <v>0.11</v>
      </c>
      <c r="G43" s="1" t="str">
        <f>B43</f>
        <v>per 100 arrests</v>
      </c>
      <c r="L43" s="57">
        <v>100</v>
      </c>
      <c r="M43" s="57"/>
      <c r="R43" s="49"/>
    </row>
    <row r="44" spans="2:18" ht="15" hidden="1" customHeight="1" x14ac:dyDescent="0.25">
      <c r="B44" s="49" t="s">
        <v>88</v>
      </c>
      <c r="C44" s="56">
        <f>C8/100</f>
        <v>0.53</v>
      </c>
      <c r="D44" s="56">
        <f>E8/100</f>
        <v>0</v>
      </c>
      <c r="E44" s="56">
        <f>MAX(C44:D44,0)</f>
        <v>0.53</v>
      </c>
      <c r="G44" s="1" t="str">
        <f>B44</f>
        <v>per 100 referrals</v>
      </c>
      <c r="L44" s="57">
        <v>100</v>
      </c>
      <c r="M44" s="57"/>
      <c r="R44" s="49"/>
    </row>
    <row r="45" spans="2:18" ht="15" hidden="1" customHeight="1" x14ac:dyDescent="0.25">
      <c r="B45" s="49" t="s">
        <v>89</v>
      </c>
      <c r="C45" s="49">
        <f>C11/100</f>
        <v>0.33</v>
      </c>
      <c r="D45" s="49">
        <f>E11/100</f>
        <v>0</v>
      </c>
      <c r="E45" s="56">
        <f>MAX(C45:D45,0)</f>
        <v>0.33</v>
      </c>
      <c r="G45" s="1" t="str">
        <f>B45</f>
        <v>per 100 youth petitioned</v>
      </c>
      <c r="L45" s="57">
        <v>100</v>
      </c>
      <c r="M45" s="57"/>
      <c r="R45" s="49"/>
    </row>
    <row r="46" spans="2:18" ht="15" hidden="1" customHeight="1" x14ac:dyDescent="0.25">
      <c r="B46" s="49" t="s">
        <v>90</v>
      </c>
      <c r="C46" s="49">
        <f>C12/100</f>
        <v>0.28000000000000003</v>
      </c>
      <c r="D46" s="49">
        <f>E12/100</f>
        <v>0</v>
      </c>
      <c r="E46" s="56">
        <f>MAX(C46:D46)</f>
        <v>0.28000000000000003</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7.0010000000000003</v>
      </c>
      <c r="D48" s="56">
        <f>D42</f>
        <v>0.76</v>
      </c>
      <c r="E48" s="56">
        <f>MAX(C48:D48)</f>
        <v>7.0010000000000003</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0.11</v>
      </c>
      <c r="D49" s="49">
        <f t="shared" si="9"/>
        <v>0.01</v>
      </c>
      <c r="E49" s="49">
        <f>MAX(C49:D49)</f>
        <v>0.11</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0.53</v>
      </c>
      <c r="D50" s="49">
        <f t="shared" si="9"/>
        <v>0</v>
      </c>
      <c r="E50" s="49">
        <f>MAX(C50:D50)</f>
        <v>0.53</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0.33</v>
      </c>
      <c r="D51" s="49">
        <f>IF(($E45&gt;0),D45,D44)</f>
        <v>0</v>
      </c>
      <c r="E51" s="49">
        <f>MAX(C51:D51)</f>
        <v>0.33</v>
      </c>
      <c r="G51" s="1" t="str">
        <f>G45</f>
        <v>per 100 youth petitioned</v>
      </c>
      <c r="L51" s="58">
        <f>IF(($E45&gt;0),L45,L44)</f>
        <v>100</v>
      </c>
      <c r="M51" s="58"/>
    </row>
    <row r="52" spans="2:18" ht="15" hidden="1" customHeight="1" x14ac:dyDescent="0.25">
      <c r="B52" s="49" t="str">
        <f>IF(($E46&gt;0),B46,B45)</f>
        <v>per 100 youth found delinquent</v>
      </c>
      <c r="C52" s="49">
        <f>IF(($E46&gt;0),C46,C45)</f>
        <v>0.28000000000000003</v>
      </c>
      <c r="D52" s="49">
        <f>IF(($E46&gt;0),D46,D45)</f>
        <v>0</v>
      </c>
      <c r="E52" s="56">
        <f>MAX(C52:D52)</f>
        <v>0.28000000000000003</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7.0010000000000003</v>
      </c>
      <c r="D54" s="56">
        <f>D48</f>
        <v>0.76</v>
      </c>
      <c r="E54" s="56">
        <f>MAX(C54:D54)</f>
        <v>7.0010000000000003</v>
      </c>
      <c r="G54" s="1" t="str">
        <f>G48</f>
        <v>per 1000 youth</v>
      </c>
      <c r="L54" s="58">
        <f>L48</f>
        <v>1000</v>
      </c>
      <c r="M54" s="58"/>
    </row>
    <row r="55" spans="2:18" ht="15" hidden="1" customHeight="1" x14ac:dyDescent="0.25">
      <c r="B55" s="49" t="str">
        <f t="shared" ref="B55:D56" si="10">IF(($E49&gt;0),B49,B48)</f>
        <v>per 100 arrests</v>
      </c>
      <c r="C55" s="49">
        <f t="shared" si="10"/>
        <v>0.11</v>
      </c>
      <c r="D55" s="49">
        <f t="shared" si="10"/>
        <v>0.01</v>
      </c>
      <c r="E55" s="49">
        <f>MAX(C55:D55)</f>
        <v>0.11</v>
      </c>
      <c r="G55" s="1" t="str">
        <f>G49</f>
        <v>per 100 arrests</v>
      </c>
      <c r="L55" s="58">
        <f>IF(($E49&gt;0),L49,L48)</f>
        <v>100</v>
      </c>
      <c r="M55" s="58"/>
    </row>
    <row r="56" spans="2:18" ht="15" hidden="1" customHeight="1" x14ac:dyDescent="0.25">
      <c r="B56" s="49" t="str">
        <f t="shared" si="10"/>
        <v>per 100 referrals</v>
      </c>
      <c r="C56" s="49">
        <f t="shared" si="10"/>
        <v>0.53</v>
      </c>
      <c r="D56" s="49">
        <f t="shared" si="10"/>
        <v>0</v>
      </c>
      <c r="E56" s="49">
        <f>MAX(C56:D56)</f>
        <v>0.53</v>
      </c>
      <c r="G56" s="1" t="str">
        <f>G50</f>
        <v>per 100 referrals</v>
      </c>
      <c r="L56" s="58">
        <f>IF(($E50&gt;0),L50,L49)</f>
        <v>100</v>
      </c>
      <c r="M56" s="58"/>
    </row>
    <row r="57" spans="2:18" ht="15" hidden="1" customHeight="1" x14ac:dyDescent="0.25">
      <c r="B57" s="49" t="str">
        <f>IF(($E51&gt;0),B51,B49)</f>
        <v>per 100 youth petitioned</v>
      </c>
      <c r="C57" s="49">
        <f>IF(($E51&gt;0),C51,C50)</f>
        <v>0.33</v>
      </c>
      <c r="D57" s="49">
        <f>IF(($E51&gt;0),D51,D50)</f>
        <v>0</v>
      </c>
      <c r="E57" s="49">
        <f>MAX(C57:D57)</f>
        <v>0.33</v>
      </c>
      <c r="G57" s="1" t="str">
        <f>G51</f>
        <v>per 100 youth petitioned</v>
      </c>
      <c r="L57" s="58">
        <f>IF(($E51&gt;0),L51,L50)</f>
        <v>100</v>
      </c>
      <c r="M57" s="58"/>
    </row>
    <row r="58" spans="2:18" ht="15" hidden="1" customHeight="1" x14ac:dyDescent="0.25">
      <c r="B58" s="49" t="str">
        <f>IF(($E52&gt;0),B52,B51)</f>
        <v>per 100 youth found delinquent</v>
      </c>
      <c r="C58" s="49">
        <f>IF(($E52&gt;0),C52,C51)</f>
        <v>0.28000000000000003</v>
      </c>
      <c r="D58" s="49">
        <f>IF(($E52&gt;0),D52,D51)</f>
        <v>0</v>
      </c>
      <c r="E58" s="56">
        <f>MAX(C58:D58)</f>
        <v>0.28000000000000003</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7.0010000000000003</v>
      </c>
      <c r="D60" s="56">
        <f>D54</f>
        <v>0.76</v>
      </c>
      <c r="E60" s="56">
        <f>MAX(C60:D60)</f>
        <v>7.0010000000000003</v>
      </c>
      <c r="G60" s="1" t="str">
        <f>G54</f>
        <v>per 1000 youth</v>
      </c>
      <c r="L60" s="58">
        <f>L54</f>
        <v>1000</v>
      </c>
      <c r="M60" s="58"/>
    </row>
    <row r="61" spans="2:18" ht="15" hidden="1" customHeight="1" x14ac:dyDescent="0.25">
      <c r="B61" s="49" t="str">
        <f t="shared" ref="B61:D62" si="11">IF(($E55&gt;0),B55,B54)</f>
        <v>per 100 arrests</v>
      </c>
      <c r="C61" s="49">
        <f t="shared" si="11"/>
        <v>0.11</v>
      </c>
      <c r="D61" s="49">
        <f t="shared" si="11"/>
        <v>0.01</v>
      </c>
      <c r="E61" s="49">
        <f>MAX(C61:D61)</f>
        <v>0.11</v>
      </c>
      <c r="G61" s="1" t="str">
        <f>G55</f>
        <v>per 100 arrests</v>
      </c>
      <c r="L61" s="58">
        <f>IF(($E55&gt;0),L55,L54)</f>
        <v>100</v>
      </c>
      <c r="M61" s="58"/>
    </row>
    <row r="62" spans="2:18" ht="15" hidden="1" customHeight="1" x14ac:dyDescent="0.25">
      <c r="B62" s="49" t="str">
        <f t="shared" si="11"/>
        <v>per 100 referrals</v>
      </c>
      <c r="C62" s="49">
        <f t="shared" si="11"/>
        <v>0.53</v>
      </c>
      <c r="D62" s="49">
        <f t="shared" si="11"/>
        <v>0</v>
      </c>
      <c r="E62" s="49">
        <f>MAX(C62:D62)</f>
        <v>0.53</v>
      </c>
      <c r="G62" s="1" t="str">
        <f>G56</f>
        <v>per 100 referrals</v>
      </c>
      <c r="L62" s="58">
        <f>IF(($E56&gt;0),L56,L55)</f>
        <v>100</v>
      </c>
      <c r="M62" s="58"/>
    </row>
    <row r="63" spans="2:18" ht="15" hidden="1" customHeight="1" x14ac:dyDescent="0.25">
      <c r="B63" s="49" t="str">
        <f>IF(($E57&gt;0),B57,B55)</f>
        <v>per 100 youth petitioned</v>
      </c>
      <c r="C63" s="49">
        <f>IF(($E57&gt;0),C57,C56)</f>
        <v>0.33</v>
      </c>
      <c r="D63" s="49">
        <f>IF(($E57&gt;0),D57,D56)</f>
        <v>0</v>
      </c>
      <c r="E63" s="49">
        <f>MAX(C63:D63)</f>
        <v>0.33</v>
      </c>
      <c r="G63" s="1" t="str">
        <f>G57</f>
        <v>per 100 youth petitioned</v>
      </c>
      <c r="L63" s="58">
        <f>IF(($E57&gt;0),L57,L56)</f>
        <v>100</v>
      </c>
      <c r="M63" s="58"/>
    </row>
    <row r="64" spans="2:18" ht="15" hidden="1" customHeight="1" x14ac:dyDescent="0.25">
      <c r="B64" s="49" t="str">
        <f>IF(($E58&gt;0),B58,B57)</f>
        <v>per 100 youth found delinquent</v>
      </c>
      <c r="C64" s="49">
        <f>IF(($E58&gt;0),C58,C57)</f>
        <v>0.28000000000000003</v>
      </c>
      <c r="D64" s="49">
        <f>IF(($E58&gt;0),D58,D57)</f>
        <v>0</v>
      </c>
      <c r="E64" s="56">
        <f>MAX(C64:D64)</f>
        <v>0.28000000000000003</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7.0010000000000003</v>
      </c>
      <c r="D66" s="56">
        <f>D60</f>
        <v>0.76</v>
      </c>
      <c r="E66" s="56">
        <f>MAX(C66:D66)</f>
        <v>7.0010000000000003</v>
      </c>
      <c r="G66" s="1" t="str">
        <f>G60</f>
        <v>per 1000 youth</v>
      </c>
      <c r="L66" s="58">
        <f>L60</f>
        <v>1000</v>
      </c>
      <c r="M66" s="58">
        <f>IF((B66=G66),1,2)</f>
        <v>1</v>
      </c>
    </row>
    <row r="67" spans="2:13" ht="15" hidden="1" customHeight="1" x14ac:dyDescent="0.25">
      <c r="B67" s="49" t="str">
        <f t="shared" ref="B67:D68" si="12">IF(($E61&gt;0),B61,B60)</f>
        <v>per 100 arrests</v>
      </c>
      <c r="C67" s="49">
        <f t="shared" si="12"/>
        <v>0.11</v>
      </c>
      <c r="D67" s="49">
        <f t="shared" si="12"/>
        <v>0.01</v>
      </c>
      <c r="E67" s="49">
        <f>MAX(C67:D67)</f>
        <v>0.11</v>
      </c>
      <c r="G67" s="1" t="str">
        <f>G61</f>
        <v>per 100 arrests</v>
      </c>
      <c r="L67" s="58">
        <f>IF(($E61&gt;0),L61,L60)</f>
        <v>100</v>
      </c>
      <c r="M67" s="58">
        <f>IF((B67=G67),1,2)</f>
        <v>1</v>
      </c>
    </row>
    <row r="68" spans="2:13" ht="15" hidden="1" customHeight="1" x14ac:dyDescent="0.25">
      <c r="B68" s="49" t="str">
        <f t="shared" si="12"/>
        <v>per 100 referrals</v>
      </c>
      <c r="C68" s="49">
        <f t="shared" si="12"/>
        <v>0.53</v>
      </c>
      <c r="D68" s="49">
        <f t="shared" si="12"/>
        <v>0</v>
      </c>
      <c r="E68" s="49">
        <f>MAX(C68:D68)</f>
        <v>0.53</v>
      </c>
      <c r="G68" s="1" t="str">
        <f>G62</f>
        <v>per 100 referrals</v>
      </c>
      <c r="L68" s="58">
        <f>IF(($E62&gt;0),L62,L61)</f>
        <v>100</v>
      </c>
      <c r="M68" s="58">
        <f>IF((B68=G68),1,2)</f>
        <v>1</v>
      </c>
    </row>
    <row r="69" spans="2:13" ht="15" hidden="1" customHeight="1" x14ac:dyDescent="0.25">
      <c r="B69" s="49" t="str">
        <f>IF(($E63&gt;0),B63,B61)</f>
        <v>per 100 youth petitioned</v>
      </c>
      <c r="C69" s="49">
        <f>IF(($E63&gt;0),C63,C62)</f>
        <v>0.33</v>
      </c>
      <c r="D69" s="49">
        <f>IF(($E63&gt;0),D63,D62)</f>
        <v>0</v>
      </c>
      <c r="E69" s="49">
        <f>MAX(C69:D69)</f>
        <v>0.33</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0.28000000000000003</v>
      </c>
      <c r="D70" s="49">
        <f>IF(($E64&gt;0),D64,D63)</f>
        <v>0</v>
      </c>
      <c r="E70" s="56">
        <f>MAX(C70:D70)</f>
        <v>0.28000000000000003</v>
      </c>
      <c r="G70" s="1" t="str">
        <f>G64</f>
        <v>per 100 youth found delinquent</v>
      </c>
      <c r="L70" s="58">
        <f>IF(($E64&gt;0),L64,L63)</f>
        <v>100</v>
      </c>
      <c r="M70" s="58">
        <f>IF((B70=G70),1,2)</f>
        <v>1</v>
      </c>
    </row>
    <row r="82" spans="2:2" ht="15" customHeight="1" x14ac:dyDescent="0.25">
      <c r="B82" s="60"/>
    </row>
    <row r="83" spans="2:2" ht="15" customHeight="1" x14ac:dyDescent="0.25">
      <c r="B83" s="61"/>
    </row>
  </sheetData>
  <sheetProtection password="C722" objects="1"/>
  <mergeCells count="3">
    <mergeCell ref="B40:J40"/>
    <mergeCell ref="N3:U4"/>
    <mergeCell ref="F1:J1"/>
  </mergeCells>
  <phoneticPr fontId="0" type="noConversion"/>
  <conditionalFormatting sqref="G7:G15">
    <cfRule type="expression" dxfId="65" priority="1" stopIfTrue="1">
      <formula>$L7=1</formula>
    </cfRule>
    <cfRule type="expression" dxfId="64" priority="2" stopIfTrue="1">
      <formula>$L7=2</formula>
    </cfRule>
    <cfRule type="expression" dxfId="63" priority="3" stopIfTrue="1">
      <formula>$L7&gt;3</formula>
    </cfRule>
  </conditionalFormatting>
  <conditionalFormatting sqref="F27">
    <cfRule type="expression" dxfId="62" priority="4" stopIfTrue="1">
      <formula>M66=2</formula>
    </cfRule>
  </conditionalFormatting>
  <conditionalFormatting sqref="F28">
    <cfRule type="expression" dxfId="61" priority="5" stopIfTrue="1">
      <formula>M67=2</formula>
    </cfRule>
  </conditionalFormatting>
  <conditionalFormatting sqref="F29">
    <cfRule type="expression" dxfId="60" priority="6" stopIfTrue="1">
      <formula>M68 = 2</formula>
    </cfRule>
  </conditionalFormatting>
  <conditionalFormatting sqref="F30">
    <cfRule type="expression" dxfId="59" priority="7" stopIfTrue="1">
      <formula>M68 = 2</formula>
    </cfRule>
  </conditionalFormatting>
  <conditionalFormatting sqref="F31">
    <cfRule type="expression" dxfId="58" priority="8" stopIfTrue="1">
      <formula>M68 = 2</formula>
    </cfRule>
  </conditionalFormatting>
  <conditionalFormatting sqref="F32:F33">
    <cfRule type="expression" dxfId="57" priority="9" stopIfTrue="1">
      <formula>M69=2</formula>
    </cfRule>
  </conditionalFormatting>
  <conditionalFormatting sqref="F34">
    <cfRule type="expression" dxfId="56" priority="10" stopIfTrue="1">
      <formula>M70 = 2</formula>
    </cfRule>
  </conditionalFormatting>
  <conditionalFormatting sqref="F35">
    <cfRule type="expression" dxfId="55" priority="11" stopIfTrue="1">
      <formula>M69=2</formula>
    </cfRule>
  </conditionalFormatting>
  <conditionalFormatting sqref="B86">
    <cfRule type="expression" dxfId="54" priority="12" stopIfTrue="1">
      <formula>$D$83= 2</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x14ac:dyDescent="0.25">
      <c r="B1" s="16" t="s">
        <v>29</v>
      </c>
      <c r="D1" s="20" t="s">
        <v>30</v>
      </c>
      <c r="E1" s="14"/>
      <c r="F1" s="212" t="str">
        <f>'Data Entry'!G5</f>
        <v>Native Hawaiian or Other Pacific Islanders</v>
      </c>
      <c r="G1" s="212"/>
      <c r="H1" s="212"/>
      <c r="I1" s="212"/>
      <c r="J1" s="212"/>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Eaton</v>
      </c>
      <c r="C3" s="22"/>
      <c r="D3" s="22"/>
      <c r="E3" s="22"/>
      <c r="F3" s="22"/>
      <c r="G3" s="7"/>
      <c r="H3" s="7"/>
      <c r="I3" s="7"/>
      <c r="J3" s="7"/>
      <c r="K3" s="7"/>
      <c r="N3" s="211" t="s">
        <v>31</v>
      </c>
      <c r="O3" s="211"/>
      <c r="P3" s="211"/>
      <c r="Q3" s="211"/>
      <c r="R3" s="211"/>
      <c r="S3" s="211"/>
      <c r="T3" s="211"/>
      <c r="U3" s="211"/>
    </row>
    <row r="4" spans="2:21" ht="8.25" customHeight="1" x14ac:dyDescent="0.25">
      <c r="B4" s="4"/>
      <c r="C4" s="23"/>
      <c r="D4" s="23"/>
      <c r="E4" s="23"/>
      <c r="F4" s="23"/>
      <c r="G4" s="8"/>
      <c r="H4" s="8"/>
      <c r="I4" s="8"/>
      <c r="N4" s="211"/>
      <c r="O4" s="211"/>
      <c r="P4" s="211"/>
      <c r="Q4" s="211"/>
      <c r="R4" s="211"/>
      <c r="S4" s="211"/>
      <c r="T4" s="211"/>
      <c r="U4" s="211"/>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7001</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11</v>
      </c>
      <c r="D7" s="34">
        <f>IF((AND(C66&gt;0,C7&gt;0)),(C7/C66),0)</f>
        <v>1.571204113698043</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11</v>
      </c>
      <c r="Q7" s="42">
        <f>C6-C7</f>
        <v>6990</v>
      </c>
      <c r="R7" s="42">
        <f t="shared" ref="R7:R15" si="5">SUM(N7:Q7)</f>
        <v>7001</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53</v>
      </c>
      <c r="D8" s="34">
        <f>IF((AND(C67&gt;0,C8&gt;0)),(C8/C67),0)</f>
        <v>481.81818181818181</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53</v>
      </c>
      <c r="Q8" s="42">
        <f>(C$67*L67)-C8</f>
        <v>-42</v>
      </c>
      <c r="R8" s="42">
        <f t="shared" si="5"/>
        <v>11.049999999999997</v>
      </c>
      <c r="S8" s="30">
        <f t="shared" si="6"/>
        <v>77.598624999999998</v>
      </c>
      <c r="T8" s="30">
        <f t="shared" si="7"/>
        <v>-1222.8425000000002</v>
      </c>
      <c r="U8" s="31">
        <f t="shared" si="8"/>
        <v>-6.3457579369379125E-2</v>
      </c>
    </row>
    <row r="9" spans="2:21" ht="18" customHeight="1" x14ac:dyDescent="0.25">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53</v>
      </c>
      <c r="R9" s="42">
        <f t="shared" si="5"/>
        <v>53</v>
      </c>
      <c r="S9" s="30">
        <f t="shared" si="6"/>
        <v>0</v>
      </c>
      <c r="T9" s="30">
        <f t="shared" si="7"/>
        <v>0</v>
      </c>
      <c r="U9" s="31" t="str">
        <f t="shared" si="8"/>
        <v>- -</v>
      </c>
    </row>
    <row r="10" spans="2:21" ht="18" customHeight="1" x14ac:dyDescent="0.25">
      <c r="B10" s="32" t="str">
        <f>'Data Entry'!A10</f>
        <v>5. Cases Involving Secure Detention</v>
      </c>
      <c r="C10" s="33">
        <f>'Data Entry'!C10</f>
        <v>1</v>
      </c>
      <c r="D10" s="34">
        <f>IF(((AND(C68&gt;0,C10&gt;0))),(C10/(C68)),0)</f>
        <v>1.8867924528301885</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v>
      </c>
      <c r="Q10" s="42">
        <f>(C$68*L68)-C10</f>
        <v>52</v>
      </c>
      <c r="R10" s="42">
        <f t="shared" si="5"/>
        <v>53</v>
      </c>
      <c r="S10" s="30">
        <f t="shared" si="6"/>
        <v>0</v>
      </c>
      <c r="T10" s="30">
        <f t="shared" si="7"/>
        <v>0</v>
      </c>
      <c r="U10" s="31" t="str">
        <f t="shared" si="8"/>
        <v>- -</v>
      </c>
    </row>
    <row r="11" spans="2:21" ht="18" customHeight="1" x14ac:dyDescent="0.25">
      <c r="B11" s="32" t="str">
        <f>'Data Entry'!A11</f>
        <v>6. Cases Petitioned (Charge Filed)</v>
      </c>
      <c r="C11" s="33">
        <f>'Data Entry'!C11</f>
        <v>33</v>
      </c>
      <c r="D11" s="34">
        <f>IF(((AND(C68&gt;0,C11&gt;0))),(C11/(C68)),0)</f>
        <v>62.264150943396224</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33</v>
      </c>
      <c r="Q11" s="42">
        <f>(C$68*L68)-C11</f>
        <v>20</v>
      </c>
      <c r="R11" s="42">
        <f t="shared" si="5"/>
        <v>53</v>
      </c>
      <c r="S11" s="30">
        <f t="shared" si="6"/>
        <v>0</v>
      </c>
      <c r="T11" s="30">
        <f t="shared" si="7"/>
        <v>0</v>
      </c>
      <c r="U11" s="31" t="str">
        <f t="shared" si="8"/>
        <v>- -</v>
      </c>
    </row>
    <row r="12" spans="2:21" ht="18" customHeight="1" x14ac:dyDescent="0.25">
      <c r="B12" s="32" t="str">
        <f>'Data Entry'!A12</f>
        <v>7. Cases Resulting in Delinquent Findings</v>
      </c>
      <c r="C12" s="33">
        <f>'Data Entry'!C12</f>
        <v>28</v>
      </c>
      <c r="D12" s="34">
        <f>IF(((AND(C69&gt;0,C12&gt;0))),(C12/(C69)),0)</f>
        <v>84.848484848484844</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28</v>
      </c>
      <c r="Q12" s="42">
        <f>(C69*L69)-C12</f>
        <v>5</v>
      </c>
      <c r="R12" s="42">
        <f t="shared" si="5"/>
        <v>33</v>
      </c>
      <c r="S12" s="30">
        <f t="shared" si="6"/>
        <v>0</v>
      </c>
      <c r="T12" s="30">
        <f t="shared" si="7"/>
        <v>0</v>
      </c>
      <c r="U12" s="31" t="str">
        <f t="shared" si="8"/>
        <v>- -</v>
      </c>
    </row>
    <row r="13" spans="2:21" ht="18" customHeight="1" x14ac:dyDescent="0.25">
      <c r="B13" s="32" t="str">
        <f>'Data Entry'!A13</f>
        <v>8. Cases Resulting in Probation Placement</v>
      </c>
      <c r="C13" s="33">
        <f>'Data Entry'!C13</f>
        <v>27</v>
      </c>
      <c r="D13" s="34">
        <f>IF(((AND(C70&gt;0,C13&gt;0))),(C13/(C70)),0)</f>
        <v>96.428571428571416</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27</v>
      </c>
      <c r="Q13" s="42">
        <f>(C70*L70)-C13</f>
        <v>1.0000000000000036</v>
      </c>
      <c r="R13" s="42">
        <f t="shared" si="5"/>
        <v>28.000000000000004</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3</v>
      </c>
      <c r="D14" s="34">
        <f>IF(((AND(C70&gt;0,C14&gt;0))), ((C14/(C70))),0)</f>
        <v>10.714285714285714</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3</v>
      </c>
      <c r="Q14" s="42">
        <f>(C70*L70)-C14</f>
        <v>25.000000000000004</v>
      </c>
      <c r="R14" s="42">
        <f t="shared" si="5"/>
        <v>28.000000000000004</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33</v>
      </c>
      <c r="R15" s="42">
        <f t="shared" si="5"/>
        <v>33</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0" t="s">
        <v>79</v>
      </c>
      <c r="C40" s="210"/>
      <c r="D40" s="210"/>
      <c r="E40" s="210"/>
      <c r="F40" s="210"/>
      <c r="G40" s="210"/>
      <c r="H40" s="210"/>
      <c r="I40" s="210"/>
      <c r="J40" s="210"/>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7.0010000000000003</v>
      </c>
      <c r="D42" s="56">
        <f>E6/1000</f>
        <v>0</v>
      </c>
      <c r="E42" s="56">
        <f>MAX(C42:D42)</f>
        <v>7.0010000000000003</v>
      </c>
      <c r="G42" s="1" t="str">
        <f>B42</f>
        <v>per 1000 youth</v>
      </c>
      <c r="L42" s="57">
        <v>1000</v>
      </c>
      <c r="M42" s="57"/>
      <c r="R42" s="49"/>
    </row>
    <row r="43" spans="2:18" ht="15" hidden="1" customHeight="1" x14ac:dyDescent="0.25">
      <c r="B43" s="49" t="s">
        <v>87</v>
      </c>
      <c r="C43" s="56">
        <f>C7/100</f>
        <v>0.11</v>
      </c>
      <c r="D43" s="56">
        <f>E7/100</f>
        <v>0</v>
      </c>
      <c r="E43" s="56">
        <f>MAX(C43:D43,0)</f>
        <v>0.11</v>
      </c>
      <c r="G43" s="1" t="str">
        <f>B43</f>
        <v>per 100 arrests</v>
      </c>
      <c r="L43" s="57">
        <v>100</v>
      </c>
      <c r="M43" s="57"/>
      <c r="R43" s="49"/>
    </row>
    <row r="44" spans="2:18" ht="15" hidden="1" customHeight="1" x14ac:dyDescent="0.25">
      <c r="B44" s="49" t="s">
        <v>88</v>
      </c>
      <c r="C44" s="56">
        <f>C8/100</f>
        <v>0.53</v>
      </c>
      <c r="D44" s="56">
        <f>E8/100</f>
        <v>0</v>
      </c>
      <c r="E44" s="56">
        <f>MAX(C44:D44,0)</f>
        <v>0.53</v>
      </c>
      <c r="G44" s="1" t="str">
        <f>B44</f>
        <v>per 100 referrals</v>
      </c>
      <c r="L44" s="57">
        <v>100</v>
      </c>
      <c r="M44" s="57"/>
      <c r="R44" s="49"/>
    </row>
    <row r="45" spans="2:18" ht="15" hidden="1" customHeight="1" x14ac:dyDescent="0.25">
      <c r="B45" s="49" t="s">
        <v>89</v>
      </c>
      <c r="C45" s="49">
        <f>C11/100</f>
        <v>0.33</v>
      </c>
      <c r="D45" s="49">
        <f>E11/100</f>
        <v>0</v>
      </c>
      <c r="E45" s="56">
        <f>MAX(C45:D45,0)</f>
        <v>0.33</v>
      </c>
      <c r="G45" s="1" t="str">
        <f>B45</f>
        <v>per 100 youth petitioned</v>
      </c>
      <c r="L45" s="57">
        <v>100</v>
      </c>
      <c r="M45" s="57"/>
      <c r="R45" s="49"/>
    </row>
    <row r="46" spans="2:18" ht="15" hidden="1" customHeight="1" x14ac:dyDescent="0.25">
      <c r="B46" s="49" t="s">
        <v>90</v>
      </c>
      <c r="C46" s="49">
        <f>C12/100</f>
        <v>0.28000000000000003</v>
      </c>
      <c r="D46" s="49">
        <f>E12/100</f>
        <v>0</v>
      </c>
      <c r="E46" s="56">
        <f>MAX(C46:D46)</f>
        <v>0.28000000000000003</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7.0010000000000003</v>
      </c>
      <c r="D48" s="56">
        <f>D42</f>
        <v>0</v>
      </c>
      <c r="E48" s="56">
        <f>MAX(C48:D48)</f>
        <v>7.0010000000000003</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0.11</v>
      </c>
      <c r="D49" s="49">
        <f t="shared" si="9"/>
        <v>0</v>
      </c>
      <c r="E49" s="49">
        <f>MAX(C49:D49)</f>
        <v>0.11</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0.53</v>
      </c>
      <c r="D50" s="49">
        <f t="shared" si="9"/>
        <v>0</v>
      </c>
      <c r="E50" s="49">
        <f>MAX(C50:D50)</f>
        <v>0.53</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0.33</v>
      </c>
      <c r="D51" s="49">
        <f>IF(($E45&gt;0),D45,D44)</f>
        <v>0</v>
      </c>
      <c r="E51" s="49">
        <f>MAX(C51:D51)</f>
        <v>0.33</v>
      </c>
      <c r="G51" s="1" t="str">
        <f>G45</f>
        <v>per 100 youth petitioned</v>
      </c>
      <c r="L51" s="58">
        <f>IF(($E45&gt;0),L45,L44)</f>
        <v>100</v>
      </c>
      <c r="M51" s="58"/>
    </row>
    <row r="52" spans="2:18" ht="15" hidden="1" customHeight="1" x14ac:dyDescent="0.25">
      <c r="B52" s="49" t="str">
        <f>IF(($E46&gt;0),B46,B45)</f>
        <v>per 100 youth found delinquent</v>
      </c>
      <c r="C52" s="49">
        <f>IF(($E46&gt;0),C46,C45)</f>
        <v>0.28000000000000003</v>
      </c>
      <c r="D52" s="49">
        <f>IF(($E46&gt;0),D46,D45)</f>
        <v>0</v>
      </c>
      <c r="E52" s="56">
        <f>MAX(C52:D52)</f>
        <v>0.28000000000000003</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7.0010000000000003</v>
      </c>
      <c r="D54" s="56">
        <f>D48</f>
        <v>0</v>
      </c>
      <c r="E54" s="56">
        <f>MAX(C54:D54)</f>
        <v>7.0010000000000003</v>
      </c>
      <c r="G54" s="1" t="str">
        <f>G48</f>
        <v>per 1000 youth</v>
      </c>
      <c r="L54" s="58">
        <f>L48</f>
        <v>1000</v>
      </c>
      <c r="M54" s="58"/>
    </row>
    <row r="55" spans="2:18" ht="15" hidden="1" customHeight="1" x14ac:dyDescent="0.25">
      <c r="B55" s="49" t="str">
        <f t="shared" ref="B55:D56" si="10">IF(($E49&gt;0),B49,B48)</f>
        <v>per 100 arrests</v>
      </c>
      <c r="C55" s="49">
        <f t="shared" si="10"/>
        <v>0.11</v>
      </c>
      <c r="D55" s="49">
        <f t="shared" si="10"/>
        <v>0</v>
      </c>
      <c r="E55" s="49">
        <f>MAX(C55:D55)</f>
        <v>0.11</v>
      </c>
      <c r="G55" s="1" t="str">
        <f>G49</f>
        <v>per 100 arrests</v>
      </c>
      <c r="L55" s="58">
        <f>IF(($E49&gt;0),L49,L48)</f>
        <v>100</v>
      </c>
      <c r="M55" s="58"/>
    </row>
    <row r="56" spans="2:18" ht="15" hidden="1" customHeight="1" x14ac:dyDescent="0.25">
      <c r="B56" s="49" t="str">
        <f t="shared" si="10"/>
        <v>per 100 referrals</v>
      </c>
      <c r="C56" s="49">
        <f t="shared" si="10"/>
        <v>0.53</v>
      </c>
      <c r="D56" s="49">
        <f t="shared" si="10"/>
        <v>0</v>
      </c>
      <c r="E56" s="49">
        <f>MAX(C56:D56)</f>
        <v>0.53</v>
      </c>
      <c r="G56" s="1" t="str">
        <f>G50</f>
        <v>per 100 referrals</v>
      </c>
      <c r="L56" s="58">
        <f>IF(($E50&gt;0),L50,L49)</f>
        <v>100</v>
      </c>
      <c r="M56" s="58"/>
    </row>
    <row r="57" spans="2:18" ht="15" hidden="1" customHeight="1" x14ac:dyDescent="0.25">
      <c r="B57" s="49" t="str">
        <f>IF(($E51&gt;0),B51,B49)</f>
        <v>per 100 youth petitioned</v>
      </c>
      <c r="C57" s="49">
        <f>IF(($E51&gt;0),C51,C50)</f>
        <v>0.33</v>
      </c>
      <c r="D57" s="49">
        <f>IF(($E51&gt;0),D51,D50)</f>
        <v>0</v>
      </c>
      <c r="E57" s="49">
        <f>MAX(C57:D57)</f>
        <v>0.33</v>
      </c>
      <c r="G57" s="1" t="str">
        <f>G51</f>
        <v>per 100 youth petitioned</v>
      </c>
      <c r="L57" s="58">
        <f>IF(($E51&gt;0),L51,L50)</f>
        <v>100</v>
      </c>
      <c r="M57" s="58"/>
    </row>
    <row r="58" spans="2:18" ht="15" hidden="1" customHeight="1" x14ac:dyDescent="0.25">
      <c r="B58" s="49" t="str">
        <f>IF(($E52&gt;0),B52,B51)</f>
        <v>per 100 youth found delinquent</v>
      </c>
      <c r="C58" s="49">
        <f>IF(($E52&gt;0),C52,C51)</f>
        <v>0.28000000000000003</v>
      </c>
      <c r="D58" s="49">
        <f>IF(($E52&gt;0),D52,D51)</f>
        <v>0</v>
      </c>
      <c r="E58" s="56">
        <f>MAX(C58:D58)</f>
        <v>0.28000000000000003</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7.0010000000000003</v>
      </c>
      <c r="D60" s="56">
        <f>D54</f>
        <v>0</v>
      </c>
      <c r="E60" s="56">
        <f>MAX(C60:D60)</f>
        <v>7.0010000000000003</v>
      </c>
      <c r="G60" s="1" t="str">
        <f>G54</f>
        <v>per 1000 youth</v>
      </c>
      <c r="L60" s="58">
        <f>L54</f>
        <v>1000</v>
      </c>
      <c r="M60" s="58"/>
    </row>
    <row r="61" spans="2:18" ht="15" hidden="1" customHeight="1" x14ac:dyDescent="0.25">
      <c r="B61" s="49" t="str">
        <f t="shared" ref="B61:D62" si="11">IF(($E55&gt;0),B55,B54)</f>
        <v>per 100 arrests</v>
      </c>
      <c r="C61" s="49">
        <f t="shared" si="11"/>
        <v>0.11</v>
      </c>
      <c r="D61" s="49">
        <f t="shared" si="11"/>
        <v>0</v>
      </c>
      <c r="E61" s="49">
        <f>MAX(C61:D61)</f>
        <v>0.11</v>
      </c>
      <c r="G61" s="1" t="str">
        <f>G55</f>
        <v>per 100 arrests</v>
      </c>
      <c r="L61" s="58">
        <f>IF(($E55&gt;0),L55,L54)</f>
        <v>100</v>
      </c>
      <c r="M61" s="58"/>
    </row>
    <row r="62" spans="2:18" ht="15" hidden="1" customHeight="1" x14ac:dyDescent="0.25">
      <c r="B62" s="49" t="str">
        <f t="shared" si="11"/>
        <v>per 100 referrals</v>
      </c>
      <c r="C62" s="49">
        <f t="shared" si="11"/>
        <v>0.53</v>
      </c>
      <c r="D62" s="49">
        <f t="shared" si="11"/>
        <v>0</v>
      </c>
      <c r="E62" s="49">
        <f>MAX(C62:D62)</f>
        <v>0.53</v>
      </c>
      <c r="G62" s="1" t="str">
        <f>G56</f>
        <v>per 100 referrals</v>
      </c>
      <c r="L62" s="58">
        <f>IF(($E56&gt;0),L56,L55)</f>
        <v>100</v>
      </c>
      <c r="M62" s="58"/>
    </row>
    <row r="63" spans="2:18" ht="15" hidden="1" customHeight="1" x14ac:dyDescent="0.25">
      <c r="B63" s="49" t="str">
        <f>IF(($E57&gt;0),B57,B55)</f>
        <v>per 100 youth petitioned</v>
      </c>
      <c r="C63" s="49">
        <f>IF(($E57&gt;0),C57,C56)</f>
        <v>0.33</v>
      </c>
      <c r="D63" s="49">
        <f>IF(($E57&gt;0),D57,D56)</f>
        <v>0</v>
      </c>
      <c r="E63" s="49">
        <f>MAX(C63:D63)</f>
        <v>0.33</v>
      </c>
      <c r="G63" s="1" t="str">
        <f>G57</f>
        <v>per 100 youth petitioned</v>
      </c>
      <c r="L63" s="58">
        <f>IF(($E57&gt;0),L57,L56)</f>
        <v>100</v>
      </c>
      <c r="M63" s="58"/>
    </row>
    <row r="64" spans="2:18" ht="15" hidden="1" customHeight="1" x14ac:dyDescent="0.25">
      <c r="B64" s="49" t="str">
        <f>IF(($E58&gt;0),B58,B57)</f>
        <v>per 100 youth found delinquent</v>
      </c>
      <c r="C64" s="49">
        <f>IF(($E58&gt;0),C58,C57)</f>
        <v>0.28000000000000003</v>
      </c>
      <c r="D64" s="49">
        <f>IF(($E58&gt;0),D58,D57)</f>
        <v>0</v>
      </c>
      <c r="E64" s="56">
        <f>MAX(C64:D64)</f>
        <v>0.28000000000000003</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7.0010000000000003</v>
      </c>
      <c r="D66" s="56">
        <f>D60</f>
        <v>0</v>
      </c>
      <c r="E66" s="56">
        <f>MAX(C66:D66)</f>
        <v>7.0010000000000003</v>
      </c>
      <c r="G66" s="1" t="str">
        <f>G60</f>
        <v>per 1000 youth</v>
      </c>
      <c r="L66" s="58">
        <f>L60</f>
        <v>1000</v>
      </c>
      <c r="M66" s="58">
        <f>IF((B66=G66),1,2)</f>
        <v>1</v>
      </c>
    </row>
    <row r="67" spans="2:13" ht="15" hidden="1" customHeight="1" x14ac:dyDescent="0.25">
      <c r="B67" s="49" t="str">
        <f t="shared" ref="B67:D68" si="12">IF(($E61&gt;0),B61,B60)</f>
        <v>per 100 arrests</v>
      </c>
      <c r="C67" s="49">
        <f t="shared" si="12"/>
        <v>0.11</v>
      </c>
      <c r="D67" s="49">
        <f t="shared" si="12"/>
        <v>0</v>
      </c>
      <c r="E67" s="49">
        <f>MAX(C67:D67)</f>
        <v>0.11</v>
      </c>
      <c r="G67" s="1" t="str">
        <f>G61</f>
        <v>per 100 arrests</v>
      </c>
      <c r="L67" s="58">
        <f>IF(($E61&gt;0),L61,L60)</f>
        <v>100</v>
      </c>
      <c r="M67" s="58">
        <f>IF((B67=G67),1,2)</f>
        <v>1</v>
      </c>
    </row>
    <row r="68" spans="2:13" ht="15" hidden="1" customHeight="1" x14ac:dyDescent="0.25">
      <c r="B68" s="49" t="str">
        <f t="shared" si="12"/>
        <v>per 100 referrals</v>
      </c>
      <c r="C68" s="49">
        <f t="shared" si="12"/>
        <v>0.53</v>
      </c>
      <c r="D68" s="49">
        <f t="shared" si="12"/>
        <v>0</v>
      </c>
      <c r="E68" s="49">
        <f>MAX(C68:D68)</f>
        <v>0.53</v>
      </c>
      <c r="G68" s="1" t="str">
        <f>G62</f>
        <v>per 100 referrals</v>
      </c>
      <c r="L68" s="58">
        <f>IF(($E62&gt;0),L62,L61)</f>
        <v>100</v>
      </c>
      <c r="M68" s="58">
        <f>IF((B68=G68),1,2)</f>
        <v>1</v>
      </c>
    </row>
    <row r="69" spans="2:13" ht="15" hidden="1" customHeight="1" x14ac:dyDescent="0.25">
      <c r="B69" s="49" t="str">
        <f>IF(($E63&gt;0),B63,B61)</f>
        <v>per 100 youth petitioned</v>
      </c>
      <c r="C69" s="49">
        <f>IF(($E63&gt;0),C63,C62)</f>
        <v>0.33</v>
      </c>
      <c r="D69" s="49">
        <f>IF(($E63&gt;0),D63,D62)</f>
        <v>0</v>
      </c>
      <c r="E69" s="49">
        <f>MAX(C69:D69)</f>
        <v>0.33</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0.28000000000000003</v>
      </c>
      <c r="D70" s="49">
        <f>IF(($E64&gt;0),D64,D63)</f>
        <v>0</v>
      </c>
      <c r="E70" s="56">
        <f>MAX(C70:D70)</f>
        <v>0.28000000000000003</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53" priority="1" stopIfTrue="1">
      <formula>$L7=1</formula>
    </cfRule>
    <cfRule type="expression" dxfId="52" priority="2" stopIfTrue="1">
      <formula>$L7=2</formula>
    </cfRule>
    <cfRule type="expression" dxfId="51" priority="3" stopIfTrue="1">
      <formula>$L7&gt;3</formula>
    </cfRule>
  </conditionalFormatting>
  <conditionalFormatting sqref="F27">
    <cfRule type="expression" dxfId="50" priority="4" stopIfTrue="1">
      <formula>M66=2</formula>
    </cfRule>
  </conditionalFormatting>
  <conditionalFormatting sqref="F28">
    <cfRule type="expression" dxfId="49" priority="5" stopIfTrue="1">
      <formula>M67=2</formula>
    </cfRule>
  </conditionalFormatting>
  <conditionalFormatting sqref="F29">
    <cfRule type="expression" dxfId="48" priority="6" stopIfTrue="1">
      <formula>M68 = 2</formula>
    </cfRule>
  </conditionalFormatting>
  <conditionalFormatting sqref="F30">
    <cfRule type="expression" dxfId="47" priority="7" stopIfTrue="1">
      <formula>M68 = 2</formula>
    </cfRule>
  </conditionalFormatting>
  <conditionalFormatting sqref="F31">
    <cfRule type="expression" dxfId="46" priority="8" stopIfTrue="1">
      <formula>M68 = 2</formula>
    </cfRule>
  </conditionalFormatting>
  <conditionalFormatting sqref="F32:F33">
    <cfRule type="expression" dxfId="45" priority="9" stopIfTrue="1">
      <formula>M69=2</formula>
    </cfRule>
  </conditionalFormatting>
  <conditionalFormatting sqref="F34">
    <cfRule type="expression" dxfId="44" priority="10" stopIfTrue="1">
      <formula>M70 = 2</formula>
    </cfRule>
  </conditionalFormatting>
  <conditionalFormatting sqref="F35">
    <cfRule type="expression" dxfId="43" priority="11" stopIfTrue="1">
      <formula>M69=2</formula>
    </cfRule>
  </conditionalFormatting>
  <conditionalFormatting sqref="B86">
    <cfRule type="expression" dxfId="42" priority="12" stopIfTrue="1">
      <formula>$D$83= 2</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2" t="str">
        <f>'Data Entry'!H5</f>
        <v>American Indian or Alaska Native</v>
      </c>
      <c r="G1" s="212"/>
      <c r="H1" s="212"/>
      <c r="I1" s="212"/>
      <c r="J1" s="212"/>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Eaton</v>
      </c>
      <c r="C3" s="22"/>
      <c r="D3" s="22"/>
      <c r="E3" s="22"/>
      <c r="F3" s="22"/>
      <c r="G3" s="7"/>
      <c r="H3" s="7"/>
      <c r="I3" s="7"/>
      <c r="J3" s="7"/>
      <c r="K3" s="7"/>
      <c r="N3" s="211" t="s">
        <v>31</v>
      </c>
      <c r="O3" s="211"/>
      <c r="P3" s="211"/>
      <c r="Q3" s="211"/>
      <c r="R3" s="211"/>
      <c r="S3" s="211"/>
      <c r="T3" s="211"/>
      <c r="U3" s="211"/>
    </row>
    <row r="4" spans="2:21" ht="8.25" customHeight="1" x14ac:dyDescent="0.25">
      <c r="B4" s="4"/>
      <c r="C4" s="23"/>
      <c r="D4" s="23"/>
      <c r="E4" s="23"/>
      <c r="F4" s="23"/>
      <c r="G4" s="8"/>
      <c r="H4" s="8"/>
      <c r="I4" s="8"/>
      <c r="N4" s="211"/>
      <c r="O4" s="211"/>
      <c r="P4" s="211"/>
      <c r="Q4" s="211"/>
      <c r="R4" s="211"/>
      <c r="S4" s="211"/>
      <c r="T4" s="211"/>
      <c r="U4" s="211"/>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7001</v>
      </c>
      <c r="D6" s="34"/>
      <c r="E6" s="33">
        <f>'Data Entry'!H6</f>
        <v>41</v>
      </c>
      <c r="F6" s="34"/>
      <c r="G6" s="35"/>
      <c r="H6" s="36"/>
      <c r="I6" s="37"/>
      <c r="J6" s="38"/>
      <c r="K6" s="37"/>
      <c r="L6" s="1">
        <f>IF( ('Data Entry'!H6&gt;('Data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11</v>
      </c>
      <c r="D7" s="34">
        <f>IF((AND(C66&gt;0,C7&gt;0)),(C7/C66),0)</f>
        <v>1.571204113698043</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41</v>
      </c>
      <c r="P7" s="42">
        <f t="shared" ref="P7:P15" si="4">C7</f>
        <v>11</v>
      </c>
      <c r="Q7" s="42">
        <f>C6-C7</f>
        <v>6990</v>
      </c>
      <c r="R7" s="42">
        <f t="shared" ref="R7:R15" si="5">SUM(N7:Q7)</f>
        <v>7042</v>
      </c>
      <c r="S7" s="30">
        <f t="shared" ref="S7:S15" si="6">R7*((((N7*Q7)-(O7*P7))^2))</f>
        <v>1432349842</v>
      </c>
      <c r="T7" s="30">
        <f t="shared" ref="T7:T15" si="7">(N7+O7)*(P7+Q7)*(N7+P7)*(O7+Q7)</f>
        <v>22200037981</v>
      </c>
      <c r="U7" s="31">
        <f t="shared" ref="U7:U15" si="8">IF((S7&gt;0),S7/T7,"- -")</f>
        <v>6.4520152768471964E-2</v>
      </c>
    </row>
    <row r="8" spans="2:21" ht="18" customHeight="1" x14ac:dyDescent="0.25">
      <c r="B8" s="32" t="str">
        <f>'Data Entry'!A8</f>
        <v>3. Refer to Juvenile Court</v>
      </c>
      <c r="C8" s="33">
        <f>'Data Entry'!C8</f>
        <v>53</v>
      </c>
      <c r="D8" s="34">
        <f>IF((AND(C67&gt;0,C8&gt;0)),(C8/C67),0)</f>
        <v>481.81818181818181</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53</v>
      </c>
      <c r="Q8" s="42">
        <f>(C$67*L67)-C8</f>
        <v>-42</v>
      </c>
      <c r="R8" s="42">
        <f t="shared" si="5"/>
        <v>11.049999999999997</v>
      </c>
      <c r="S8" s="30">
        <f t="shared" si="6"/>
        <v>77.598624999999998</v>
      </c>
      <c r="T8" s="30">
        <f t="shared" si="7"/>
        <v>-1222.8425000000002</v>
      </c>
      <c r="U8" s="31">
        <f t="shared" si="8"/>
        <v>-6.3457579369379125E-2</v>
      </c>
    </row>
    <row r="9" spans="2:21" ht="18" customHeight="1" x14ac:dyDescent="0.25">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53</v>
      </c>
      <c r="R9" s="42">
        <f t="shared" si="5"/>
        <v>53</v>
      </c>
      <c r="S9" s="30">
        <f t="shared" si="6"/>
        <v>0</v>
      </c>
      <c r="T9" s="30">
        <f t="shared" si="7"/>
        <v>0</v>
      </c>
      <c r="U9" s="31" t="str">
        <f t="shared" si="8"/>
        <v>- -</v>
      </c>
    </row>
    <row r="10" spans="2:21" ht="18" customHeight="1" x14ac:dyDescent="0.25">
      <c r="B10" s="32" t="str">
        <f>'Data Entry'!A10</f>
        <v>5. Cases Involving Secure Detention</v>
      </c>
      <c r="C10" s="33">
        <f>'Data Entry'!C10</f>
        <v>1</v>
      </c>
      <c r="D10" s="34">
        <f>IF(((AND(C68&gt;0,C10&gt;0))),(C10/(C68)),0)</f>
        <v>1.8867924528301885</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v>
      </c>
      <c r="Q10" s="42">
        <f>(C$68*L68)-C10</f>
        <v>52</v>
      </c>
      <c r="R10" s="42">
        <f t="shared" si="5"/>
        <v>53</v>
      </c>
      <c r="S10" s="30">
        <f t="shared" si="6"/>
        <v>0</v>
      </c>
      <c r="T10" s="30">
        <f t="shared" si="7"/>
        <v>0</v>
      </c>
      <c r="U10" s="31" t="str">
        <f t="shared" si="8"/>
        <v>- -</v>
      </c>
    </row>
    <row r="11" spans="2:21" ht="18" customHeight="1" x14ac:dyDescent="0.25">
      <c r="B11" s="32" t="str">
        <f>'Data Entry'!A11</f>
        <v>6. Cases Petitioned (Charge Filed)</v>
      </c>
      <c r="C11" s="33">
        <f>'Data Entry'!C11</f>
        <v>33</v>
      </c>
      <c r="D11" s="34">
        <f>IF(((AND(C68&gt;0,C11&gt;0))),(C11/(C68)),0)</f>
        <v>62.264150943396224</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33</v>
      </c>
      <c r="Q11" s="42">
        <f>(C$68*L68)-C11</f>
        <v>20</v>
      </c>
      <c r="R11" s="42">
        <f t="shared" si="5"/>
        <v>53</v>
      </c>
      <c r="S11" s="30">
        <f t="shared" si="6"/>
        <v>0</v>
      </c>
      <c r="T11" s="30">
        <f t="shared" si="7"/>
        <v>0</v>
      </c>
      <c r="U11" s="31" t="str">
        <f t="shared" si="8"/>
        <v>- -</v>
      </c>
    </row>
    <row r="12" spans="2:21" ht="18" customHeight="1" x14ac:dyDescent="0.25">
      <c r="B12" s="32" t="str">
        <f>'Data Entry'!A12</f>
        <v>7. Cases Resulting in Delinquent Findings</v>
      </c>
      <c r="C12" s="33">
        <f>'Data Entry'!C12</f>
        <v>28</v>
      </c>
      <c r="D12" s="34">
        <f>IF(((AND(C69&gt;0,C12&gt;0))),(C12/(C69)),0)</f>
        <v>84.848484848484844</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28</v>
      </c>
      <c r="Q12" s="42">
        <f>(C69*L69)-C12</f>
        <v>5</v>
      </c>
      <c r="R12" s="42">
        <f t="shared" si="5"/>
        <v>33</v>
      </c>
      <c r="S12" s="30">
        <f t="shared" si="6"/>
        <v>0</v>
      </c>
      <c r="T12" s="30">
        <f t="shared" si="7"/>
        <v>0</v>
      </c>
      <c r="U12" s="31" t="str">
        <f t="shared" si="8"/>
        <v>- -</v>
      </c>
    </row>
    <row r="13" spans="2:21" ht="18" customHeight="1" x14ac:dyDescent="0.25">
      <c r="B13" s="32" t="str">
        <f>'Data Entry'!A13</f>
        <v>8. Cases Resulting in Probation Placement</v>
      </c>
      <c r="C13" s="33">
        <f>'Data Entry'!C13</f>
        <v>27</v>
      </c>
      <c r="D13" s="34">
        <f>IF(((AND(C70&gt;0,C13&gt;0))),(C13/(C70)),0)</f>
        <v>96.428571428571416</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27</v>
      </c>
      <c r="Q13" s="42">
        <f>(C70*L70)-C13</f>
        <v>1.0000000000000036</v>
      </c>
      <c r="R13" s="42">
        <f t="shared" si="5"/>
        <v>28.000000000000004</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3</v>
      </c>
      <c r="D14" s="34">
        <f>IF(((AND(C70&gt;0,C14&gt;0))), ((C14/(C70))),0)</f>
        <v>10.714285714285714</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3</v>
      </c>
      <c r="Q14" s="42">
        <f>(C70*L70)-C14</f>
        <v>25.000000000000004</v>
      </c>
      <c r="R14" s="42">
        <f t="shared" si="5"/>
        <v>28.000000000000004</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33</v>
      </c>
      <c r="R15" s="42">
        <f t="shared" si="5"/>
        <v>33</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0" t="s">
        <v>79</v>
      </c>
      <c r="C40" s="210"/>
      <c r="D40" s="210"/>
      <c r="E40" s="210"/>
      <c r="F40" s="210"/>
      <c r="G40" s="210"/>
      <c r="H40" s="210"/>
      <c r="I40" s="210"/>
      <c r="J40" s="210"/>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7.0010000000000003</v>
      </c>
      <c r="D42" s="56">
        <f>E6/1000</f>
        <v>4.1000000000000002E-2</v>
      </c>
      <c r="E42" s="56">
        <f>MAX(C42:D42)</f>
        <v>7.0010000000000003</v>
      </c>
      <c r="G42" s="1" t="str">
        <f>B42</f>
        <v>per 1000 youth</v>
      </c>
      <c r="L42" s="57">
        <v>1000</v>
      </c>
      <c r="M42" s="57"/>
      <c r="R42" s="49"/>
    </row>
    <row r="43" spans="2:18" ht="15" hidden="1" customHeight="1" x14ac:dyDescent="0.25">
      <c r="B43" s="49" t="s">
        <v>87</v>
      </c>
      <c r="C43" s="56">
        <f>C7/100</f>
        <v>0.11</v>
      </c>
      <c r="D43" s="56">
        <f>E7/100</f>
        <v>0</v>
      </c>
      <c r="E43" s="56">
        <f>MAX(C43:D43,0)</f>
        <v>0.11</v>
      </c>
      <c r="G43" s="1" t="str">
        <f>B43</f>
        <v>per 100 arrests</v>
      </c>
      <c r="L43" s="57">
        <v>100</v>
      </c>
      <c r="M43" s="57"/>
      <c r="R43" s="49"/>
    </row>
    <row r="44" spans="2:18" ht="15" hidden="1" customHeight="1" x14ac:dyDescent="0.25">
      <c r="B44" s="49" t="s">
        <v>88</v>
      </c>
      <c r="C44" s="56">
        <f>C8/100</f>
        <v>0.53</v>
      </c>
      <c r="D44" s="56">
        <f>E8/100</f>
        <v>0</v>
      </c>
      <c r="E44" s="56">
        <f>MAX(C44:D44,0)</f>
        <v>0.53</v>
      </c>
      <c r="G44" s="1" t="str">
        <f>B44</f>
        <v>per 100 referrals</v>
      </c>
      <c r="L44" s="57">
        <v>100</v>
      </c>
      <c r="M44" s="57"/>
      <c r="R44" s="49"/>
    </row>
    <row r="45" spans="2:18" ht="15" hidden="1" customHeight="1" x14ac:dyDescent="0.25">
      <c r="B45" s="49" t="s">
        <v>89</v>
      </c>
      <c r="C45" s="49">
        <f>C11/100</f>
        <v>0.33</v>
      </c>
      <c r="D45" s="49">
        <f>E11/100</f>
        <v>0</v>
      </c>
      <c r="E45" s="56">
        <f>MAX(C45:D45,0)</f>
        <v>0.33</v>
      </c>
      <c r="G45" s="1" t="str">
        <f>B45</f>
        <v>per 100 youth petitioned</v>
      </c>
      <c r="L45" s="57">
        <v>100</v>
      </c>
      <c r="M45" s="57"/>
      <c r="R45" s="49"/>
    </row>
    <row r="46" spans="2:18" ht="15" hidden="1" customHeight="1" x14ac:dyDescent="0.25">
      <c r="B46" s="49" t="s">
        <v>90</v>
      </c>
      <c r="C46" s="49">
        <f>C12/100</f>
        <v>0.28000000000000003</v>
      </c>
      <c r="D46" s="49">
        <f>E12/100</f>
        <v>0</v>
      </c>
      <c r="E46" s="56">
        <f>MAX(C46:D46)</f>
        <v>0.28000000000000003</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7.0010000000000003</v>
      </c>
      <c r="D48" s="56">
        <f>D42</f>
        <v>4.1000000000000002E-2</v>
      </c>
      <c r="E48" s="56">
        <f>MAX(C48:D48)</f>
        <v>7.0010000000000003</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0.11</v>
      </c>
      <c r="D49" s="49">
        <f t="shared" si="9"/>
        <v>0</v>
      </c>
      <c r="E49" s="49">
        <f>MAX(C49:D49)</f>
        <v>0.11</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0.53</v>
      </c>
      <c r="D50" s="49">
        <f t="shared" si="9"/>
        <v>0</v>
      </c>
      <c r="E50" s="49">
        <f>MAX(C50:D50)</f>
        <v>0.53</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0.33</v>
      </c>
      <c r="D51" s="49">
        <f>IF(($E45&gt;0),D45,D44)</f>
        <v>0</v>
      </c>
      <c r="E51" s="49">
        <f>MAX(C51:D51)</f>
        <v>0.33</v>
      </c>
      <c r="G51" s="1" t="str">
        <f>G45</f>
        <v>per 100 youth petitioned</v>
      </c>
      <c r="L51" s="58">
        <f>IF(($E45&gt;0),L45,L44)</f>
        <v>100</v>
      </c>
      <c r="M51" s="58"/>
    </row>
    <row r="52" spans="2:18" ht="15" hidden="1" customHeight="1" x14ac:dyDescent="0.25">
      <c r="B52" s="49" t="str">
        <f>IF(($E46&gt;0),B46,B45)</f>
        <v>per 100 youth found delinquent</v>
      </c>
      <c r="C52" s="49">
        <f>IF(($E46&gt;0),C46,C45)</f>
        <v>0.28000000000000003</v>
      </c>
      <c r="D52" s="49">
        <f>IF(($E46&gt;0),D46,D45)</f>
        <v>0</v>
      </c>
      <c r="E52" s="56">
        <f>MAX(C52:D52)</f>
        <v>0.28000000000000003</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7.0010000000000003</v>
      </c>
      <c r="D54" s="56">
        <f>D48</f>
        <v>4.1000000000000002E-2</v>
      </c>
      <c r="E54" s="56">
        <f>MAX(C54:D54)</f>
        <v>7.0010000000000003</v>
      </c>
      <c r="G54" s="1" t="str">
        <f>G48</f>
        <v>per 1000 youth</v>
      </c>
      <c r="L54" s="58">
        <f>L48</f>
        <v>1000</v>
      </c>
      <c r="M54" s="58"/>
    </row>
    <row r="55" spans="2:18" ht="15" hidden="1" customHeight="1" x14ac:dyDescent="0.25">
      <c r="B55" s="49" t="str">
        <f t="shared" ref="B55:D56" si="10">IF(($E49&gt;0),B49,B48)</f>
        <v>per 100 arrests</v>
      </c>
      <c r="C55" s="49">
        <f t="shared" si="10"/>
        <v>0.11</v>
      </c>
      <c r="D55" s="49">
        <f t="shared" si="10"/>
        <v>0</v>
      </c>
      <c r="E55" s="49">
        <f>MAX(C55:D55)</f>
        <v>0.11</v>
      </c>
      <c r="G55" s="1" t="str">
        <f>G49</f>
        <v>per 100 arrests</v>
      </c>
      <c r="L55" s="58">
        <f>IF(($E49&gt;0),L49,L48)</f>
        <v>100</v>
      </c>
      <c r="M55" s="58"/>
    </row>
    <row r="56" spans="2:18" ht="15" hidden="1" customHeight="1" x14ac:dyDescent="0.25">
      <c r="B56" s="49" t="str">
        <f t="shared" si="10"/>
        <v>per 100 referrals</v>
      </c>
      <c r="C56" s="49">
        <f t="shared" si="10"/>
        <v>0.53</v>
      </c>
      <c r="D56" s="49">
        <f t="shared" si="10"/>
        <v>0</v>
      </c>
      <c r="E56" s="49">
        <f>MAX(C56:D56)</f>
        <v>0.53</v>
      </c>
      <c r="G56" s="1" t="str">
        <f>G50</f>
        <v>per 100 referrals</v>
      </c>
      <c r="L56" s="58">
        <f>IF(($E50&gt;0),L50,L49)</f>
        <v>100</v>
      </c>
      <c r="M56" s="58"/>
    </row>
    <row r="57" spans="2:18" ht="15" hidden="1" customHeight="1" x14ac:dyDescent="0.25">
      <c r="B57" s="49" t="str">
        <f>IF(($E51&gt;0),B51,B49)</f>
        <v>per 100 youth petitioned</v>
      </c>
      <c r="C57" s="49">
        <f>IF(($E51&gt;0),C51,C50)</f>
        <v>0.33</v>
      </c>
      <c r="D57" s="49">
        <f>IF(($E51&gt;0),D51,D50)</f>
        <v>0</v>
      </c>
      <c r="E57" s="49">
        <f>MAX(C57:D57)</f>
        <v>0.33</v>
      </c>
      <c r="G57" s="1" t="str">
        <f>G51</f>
        <v>per 100 youth petitioned</v>
      </c>
      <c r="L57" s="58">
        <f>IF(($E51&gt;0),L51,L50)</f>
        <v>100</v>
      </c>
      <c r="M57" s="58"/>
    </row>
    <row r="58" spans="2:18" ht="15" hidden="1" customHeight="1" x14ac:dyDescent="0.25">
      <c r="B58" s="49" t="str">
        <f>IF(($E52&gt;0),B52,B51)</f>
        <v>per 100 youth found delinquent</v>
      </c>
      <c r="C58" s="49">
        <f>IF(($E52&gt;0),C52,C51)</f>
        <v>0.28000000000000003</v>
      </c>
      <c r="D58" s="49">
        <f>IF(($E52&gt;0),D52,D51)</f>
        <v>0</v>
      </c>
      <c r="E58" s="56">
        <f>MAX(C58:D58)</f>
        <v>0.28000000000000003</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7.0010000000000003</v>
      </c>
      <c r="D60" s="56">
        <f>D54</f>
        <v>4.1000000000000002E-2</v>
      </c>
      <c r="E60" s="56">
        <f>MAX(C60:D60)</f>
        <v>7.0010000000000003</v>
      </c>
      <c r="G60" s="1" t="str">
        <f>G54</f>
        <v>per 1000 youth</v>
      </c>
      <c r="L60" s="58">
        <f>L54</f>
        <v>1000</v>
      </c>
      <c r="M60" s="58"/>
    </row>
    <row r="61" spans="2:18" ht="15" hidden="1" customHeight="1" x14ac:dyDescent="0.25">
      <c r="B61" s="49" t="str">
        <f t="shared" ref="B61:D62" si="11">IF(($E55&gt;0),B55,B54)</f>
        <v>per 100 arrests</v>
      </c>
      <c r="C61" s="49">
        <f t="shared" si="11"/>
        <v>0.11</v>
      </c>
      <c r="D61" s="49">
        <f t="shared" si="11"/>
        <v>0</v>
      </c>
      <c r="E61" s="49">
        <f>MAX(C61:D61)</f>
        <v>0.11</v>
      </c>
      <c r="G61" s="1" t="str">
        <f>G55</f>
        <v>per 100 arrests</v>
      </c>
      <c r="L61" s="58">
        <f>IF(($E55&gt;0),L55,L54)</f>
        <v>100</v>
      </c>
      <c r="M61" s="58"/>
    </row>
    <row r="62" spans="2:18" ht="15" hidden="1" customHeight="1" x14ac:dyDescent="0.25">
      <c r="B62" s="49" t="str">
        <f t="shared" si="11"/>
        <v>per 100 referrals</v>
      </c>
      <c r="C62" s="49">
        <f t="shared" si="11"/>
        <v>0.53</v>
      </c>
      <c r="D62" s="49">
        <f t="shared" si="11"/>
        <v>0</v>
      </c>
      <c r="E62" s="49">
        <f>MAX(C62:D62)</f>
        <v>0.53</v>
      </c>
      <c r="G62" s="1" t="str">
        <f>G56</f>
        <v>per 100 referrals</v>
      </c>
      <c r="L62" s="58">
        <f>IF(($E56&gt;0),L56,L55)</f>
        <v>100</v>
      </c>
      <c r="M62" s="58"/>
    </row>
    <row r="63" spans="2:18" ht="15" hidden="1" customHeight="1" x14ac:dyDescent="0.25">
      <c r="B63" s="49" t="str">
        <f>IF(($E57&gt;0),B57,B55)</f>
        <v>per 100 youth petitioned</v>
      </c>
      <c r="C63" s="49">
        <f>IF(($E57&gt;0),C57,C56)</f>
        <v>0.33</v>
      </c>
      <c r="D63" s="49">
        <f>IF(($E57&gt;0),D57,D56)</f>
        <v>0</v>
      </c>
      <c r="E63" s="49">
        <f>MAX(C63:D63)</f>
        <v>0.33</v>
      </c>
      <c r="G63" s="1" t="str">
        <f>G57</f>
        <v>per 100 youth petitioned</v>
      </c>
      <c r="L63" s="58">
        <f>IF(($E57&gt;0),L57,L56)</f>
        <v>100</v>
      </c>
      <c r="M63" s="58"/>
    </row>
    <row r="64" spans="2:18" ht="15" hidden="1" customHeight="1" x14ac:dyDescent="0.25">
      <c r="B64" s="49" t="str">
        <f>IF(($E58&gt;0),B58,B57)</f>
        <v>per 100 youth found delinquent</v>
      </c>
      <c r="C64" s="49">
        <f>IF(($E58&gt;0),C58,C57)</f>
        <v>0.28000000000000003</v>
      </c>
      <c r="D64" s="49">
        <f>IF(($E58&gt;0),D58,D57)</f>
        <v>0</v>
      </c>
      <c r="E64" s="56">
        <f>MAX(C64:D64)</f>
        <v>0.28000000000000003</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7.0010000000000003</v>
      </c>
      <c r="D66" s="56">
        <f>D60</f>
        <v>4.1000000000000002E-2</v>
      </c>
      <c r="E66" s="56">
        <f>MAX(C66:D66)</f>
        <v>7.0010000000000003</v>
      </c>
      <c r="G66" s="1" t="str">
        <f>G60</f>
        <v>per 1000 youth</v>
      </c>
      <c r="L66" s="58">
        <f>L60</f>
        <v>1000</v>
      </c>
      <c r="M66" s="58">
        <f>IF((B66=G66),1,2)</f>
        <v>1</v>
      </c>
    </row>
    <row r="67" spans="2:13" ht="15" hidden="1" customHeight="1" x14ac:dyDescent="0.25">
      <c r="B67" s="49" t="str">
        <f t="shared" ref="B67:D68" si="12">IF(($E61&gt;0),B61,B60)</f>
        <v>per 100 arrests</v>
      </c>
      <c r="C67" s="49">
        <f t="shared" si="12"/>
        <v>0.11</v>
      </c>
      <c r="D67" s="49">
        <f t="shared" si="12"/>
        <v>0</v>
      </c>
      <c r="E67" s="49">
        <f>MAX(C67:D67)</f>
        <v>0.11</v>
      </c>
      <c r="G67" s="1" t="str">
        <f>G61</f>
        <v>per 100 arrests</v>
      </c>
      <c r="L67" s="58">
        <f>IF(($E61&gt;0),L61,L60)</f>
        <v>100</v>
      </c>
      <c r="M67" s="58">
        <f>IF((B67=G67),1,2)</f>
        <v>1</v>
      </c>
    </row>
    <row r="68" spans="2:13" ht="15" hidden="1" customHeight="1" x14ac:dyDescent="0.25">
      <c r="B68" s="49" t="str">
        <f t="shared" si="12"/>
        <v>per 100 referrals</v>
      </c>
      <c r="C68" s="49">
        <f t="shared" si="12"/>
        <v>0.53</v>
      </c>
      <c r="D68" s="49">
        <f t="shared" si="12"/>
        <v>0</v>
      </c>
      <c r="E68" s="49">
        <f>MAX(C68:D68)</f>
        <v>0.53</v>
      </c>
      <c r="G68" s="1" t="str">
        <f>G62</f>
        <v>per 100 referrals</v>
      </c>
      <c r="L68" s="58">
        <f>IF(($E62&gt;0),L62,L61)</f>
        <v>100</v>
      </c>
      <c r="M68" s="58">
        <f>IF((B68=G68),1,2)</f>
        <v>1</v>
      </c>
    </row>
    <row r="69" spans="2:13" ht="15" hidden="1" customHeight="1" x14ac:dyDescent="0.25">
      <c r="B69" s="49" t="str">
        <f>IF(($E63&gt;0),B63,B61)</f>
        <v>per 100 youth petitioned</v>
      </c>
      <c r="C69" s="49">
        <f>IF(($E63&gt;0),C63,C62)</f>
        <v>0.33</v>
      </c>
      <c r="D69" s="49">
        <f>IF(($E63&gt;0),D63,D62)</f>
        <v>0</v>
      </c>
      <c r="E69" s="49">
        <f>MAX(C69:D69)</f>
        <v>0.33</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0.28000000000000003</v>
      </c>
      <c r="D70" s="49">
        <f>IF(($E64&gt;0),D64,D63)</f>
        <v>0</v>
      </c>
      <c r="E70" s="56">
        <f>MAX(C70:D70)</f>
        <v>0.28000000000000003</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35">
    <cfRule type="expression" dxfId="41" priority="1" stopIfTrue="1">
      <formula>M69=2</formula>
    </cfRule>
  </conditionalFormatting>
  <conditionalFormatting sqref="G7:G15">
    <cfRule type="expression" dxfId="40" priority="2" stopIfTrue="1">
      <formula>$L7=1</formula>
    </cfRule>
    <cfRule type="expression" dxfId="39" priority="3" stopIfTrue="1">
      <formula>$L7=2</formula>
    </cfRule>
    <cfRule type="expression" dxfId="38" priority="4" stopIfTrue="1">
      <formula>$L7&gt;3</formula>
    </cfRule>
  </conditionalFormatting>
  <conditionalFormatting sqref="F27">
    <cfRule type="expression" dxfId="37" priority="5" stopIfTrue="1">
      <formula>M66=2</formula>
    </cfRule>
  </conditionalFormatting>
  <conditionalFormatting sqref="F28">
    <cfRule type="expression" dxfId="36" priority="6" stopIfTrue="1">
      <formula>M67=2</formula>
    </cfRule>
  </conditionalFormatting>
  <conditionalFormatting sqref="F29">
    <cfRule type="expression" dxfId="35" priority="7" stopIfTrue="1">
      <formula>M68 = 2</formula>
    </cfRule>
  </conditionalFormatting>
  <conditionalFormatting sqref="F30">
    <cfRule type="expression" dxfId="34" priority="8" stopIfTrue="1">
      <formula>M68 = 2</formula>
    </cfRule>
  </conditionalFormatting>
  <conditionalFormatting sqref="F31">
    <cfRule type="expression" dxfId="33" priority="9" stopIfTrue="1">
      <formula>M68 = 2</formula>
    </cfRule>
  </conditionalFormatting>
  <conditionalFormatting sqref="F32:F33">
    <cfRule type="expression" dxfId="32" priority="10" stopIfTrue="1">
      <formula>M69=2</formula>
    </cfRule>
  </conditionalFormatting>
  <conditionalFormatting sqref="F34">
    <cfRule type="expression" dxfId="31" priority="11" stopIfTrue="1">
      <formula>M70 = 2</formula>
    </cfRule>
  </conditionalFormatting>
  <conditionalFormatting sqref="B86">
    <cfRule type="expression" dxfId="30" priority="12" stopIfTrue="1">
      <formula>$D$83= 2</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1" ma:contentTypeDescription="Create a new document." ma:contentTypeScope="" ma:versionID="cffc871bf9337c5ba00f76dae1b2ceae">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a160d36e9b67ff32ec5114995ddf2032"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U47JMPN4QEAR-1806752177-30245</_dlc_DocId>
    <_dlc_DocIdUrl xmlns="ac3811b5-0f3e-49e2-ba69-f2ffa0c782af">
      <Url>https://michiganphi.sharepoint.com/sites/CMDMC/_layouts/15/DocIdRedir.aspx?ID=U47JMPN4QEAR-1806752177-30245</Url>
      <Description>U47JMPN4QEAR-1806752177-30245</Description>
    </_dlc_DocIdUrl>
  </documentManagement>
</p:properties>
</file>

<file path=customXml/itemProps1.xml><?xml version="1.0" encoding="utf-8"?>
<ds:datastoreItem xmlns:ds="http://schemas.openxmlformats.org/officeDocument/2006/customXml" ds:itemID="{34BE4C80-1F53-4226-8B95-183F17E7FD7E}"/>
</file>

<file path=customXml/itemProps2.xml><?xml version="1.0" encoding="utf-8"?>
<ds:datastoreItem xmlns:ds="http://schemas.openxmlformats.org/officeDocument/2006/customXml" ds:itemID="{E62C20D7-3715-42DA-ADBE-88ED5C2C40C3}"/>
</file>

<file path=customXml/itemProps3.xml><?xml version="1.0" encoding="utf-8"?>
<ds:datastoreItem xmlns:ds="http://schemas.openxmlformats.org/officeDocument/2006/customXml" ds:itemID="{8B1C4C09-E024-46E1-862C-FDA12688DDFE}"/>
</file>

<file path=customXml/itemProps4.xml><?xml version="1.0" encoding="utf-8"?>
<ds:datastoreItem xmlns:ds="http://schemas.openxmlformats.org/officeDocument/2006/customXml" ds:itemID="{0DEF0D25-826C-4405-B439-B10B7E324FA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2023-01-30T14:52:26Z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_dlc_DocIdItemGuid">
    <vt:lpwstr>dd028aee-3a3a-47bf-9073-0a423cfae88a</vt:lpwstr>
  </property>
</Properties>
</file>