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7" documentId="8_{18C95B06-1B76-478E-94CA-3E712E89F82F}" xr6:coauthVersionLast="47" xr6:coauthVersionMax="47" xr10:uidLastSave="{BD0E382A-6684-4D23-9565-CB862BEB6AEC}"/>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c r="G60" i="2"/>
  <c r="G66" i="2" s="1"/>
  <c r="G43" i="2"/>
  <c r="G44" i="2"/>
  <c r="G50" i="2"/>
  <c r="G45" i="2"/>
  <c r="G51" i="2" s="1"/>
  <c r="G57" i="2" s="1"/>
  <c r="G63" i="2" s="1"/>
  <c r="G69" i="2" s="1"/>
  <c r="G46" i="2"/>
  <c r="G52" i="2" s="1"/>
  <c r="G58" i="2" s="1"/>
  <c r="G64" i="2" s="1"/>
  <c r="G70" i="2" s="1"/>
  <c r="L48" i="2"/>
  <c r="L54" i="2"/>
  <c r="L60" i="2" s="1"/>
  <c r="L66" i="2" s="1"/>
  <c r="G49" i="2"/>
  <c r="G55" i="2" s="1"/>
  <c r="G61" i="2" s="1"/>
  <c r="G67" i="2" s="1"/>
  <c r="G56" i="2"/>
  <c r="G62" i="2" s="1"/>
  <c r="G68"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G52" i="3" s="1"/>
  <c r="G58" i="3" s="1"/>
  <c r="G64" i="3" s="1"/>
  <c r="G70"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46" i="6"/>
  <c r="G52" i="6"/>
  <c r="G58" i="6" s="1"/>
  <c r="G64" i="6" s="1"/>
  <c r="G70" i="6" s="1"/>
  <c r="L48" i="6"/>
  <c r="L54" i="6" s="1"/>
  <c r="L60" i="6" s="1"/>
  <c r="L66" i="6" s="1"/>
  <c r="G50" i="6"/>
  <c r="G56" i="6" s="1"/>
  <c r="G62" i="6" s="1"/>
  <c r="G68" i="6" s="1"/>
  <c r="G57" i="6"/>
  <c r="G63" i="6" s="1"/>
  <c r="G69"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G52" i="7" s="1"/>
  <c r="G58" i="7" s="1"/>
  <c r="G64" i="7" s="1"/>
  <c r="G70" i="7" s="1"/>
  <c r="L48" i="7"/>
  <c r="G50" i="7"/>
  <c r="G56" i="7" s="1"/>
  <c r="G62" i="7" s="1"/>
  <c r="G68"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F27" i="4"/>
  <c r="M66" i="4"/>
  <c r="F27" i="6"/>
  <c r="M66" i="6"/>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3" i="7"/>
  <c r="E46" i="3"/>
  <c r="L52" i="3"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B52" i="3"/>
  <c r="D50" i="5"/>
  <c r="E50" i="5" s="1"/>
  <c r="L56"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3"/>
  <c r="D64" i="5"/>
  <c r="C64" i="5"/>
  <c r="E64" i="5" s="1"/>
  <c r="L56" i="8"/>
  <c r="L64" i="5"/>
  <c r="B56" i="8"/>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L69" i="7"/>
  <c r="C69" i="7"/>
  <c r="D12" i="7" s="1"/>
  <c r="C63" i="8"/>
  <c r="E63" i="8" s="1"/>
  <c r="D69" i="8" s="1"/>
  <c r="L63" i="8"/>
  <c r="L70" i="8" s="1"/>
  <c r="E63" i="3"/>
  <c r="C69" i="3" s="1"/>
  <c r="D12"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6" l="1"/>
  <c r="M69" i="6" s="1"/>
  <c r="C70" i="8"/>
  <c r="D15" i="3"/>
  <c r="Q12" i="7"/>
  <c r="B69" i="3"/>
  <c r="M69" i="3" s="1"/>
  <c r="L69" i="3"/>
  <c r="Q12" i="3" s="1"/>
  <c r="O13" i="3"/>
  <c r="D69" i="3"/>
  <c r="E69" i="3" s="1"/>
  <c r="D15" i="7"/>
  <c r="Q15" i="7"/>
  <c r="E70" i="6"/>
  <c r="Q13" i="8"/>
  <c r="F14" i="3"/>
  <c r="D13" i="3"/>
  <c r="O13" i="6"/>
  <c r="F14" i="6"/>
  <c r="O14" i="6"/>
  <c r="E69" i="7"/>
  <c r="D13" i="6"/>
  <c r="C69" i="6"/>
  <c r="D12" i="6" s="1"/>
  <c r="Q14" i="3"/>
  <c r="F12" i="7"/>
  <c r="O12" i="7"/>
  <c r="D14" i="6"/>
  <c r="O15" i="7"/>
  <c r="Q13" i="3"/>
  <c r="Q13" i="6"/>
  <c r="Q14" i="6"/>
  <c r="E70" i="3"/>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2" i="7" l="1"/>
  <c r="R13" i="6"/>
  <c r="S13" i="6" s="1"/>
  <c r="U13" i="6" s="1"/>
  <c r="J13" i="6" s="1"/>
  <c r="M13" i="6" s="1"/>
  <c r="G13" i="6" s="1"/>
  <c r="G13" i="9" s="1"/>
  <c r="K13" i="3"/>
  <c r="Q15" i="3"/>
  <c r="R13" i="8"/>
  <c r="S13" i="8" s="1"/>
  <c r="U13" i="8" s="1"/>
  <c r="J13" i="8" s="1"/>
  <c r="M13" i="8" s="1"/>
  <c r="G13" i="8" s="1"/>
  <c r="K14" i="16" s="1"/>
  <c r="F32" i="3"/>
  <c r="O12" i="3"/>
  <c r="R12" i="3" s="1"/>
  <c r="S12" i="3" s="1"/>
  <c r="U12" i="3" s="1"/>
  <c r="J12" i="3" s="1"/>
  <c r="F35" i="3"/>
  <c r="F15" i="3"/>
  <c r="O15" i="3"/>
  <c r="Q12" i="6"/>
  <c r="F12" i="3"/>
  <c r="Q15" i="6"/>
  <c r="R15" i="7"/>
  <c r="S15" i="7" s="1"/>
  <c r="U15" i="7" s="1"/>
  <c r="J15" i="7" s="1"/>
  <c r="M15" i="7" s="1"/>
  <c r="K15" i="7"/>
  <c r="R14" i="3"/>
  <c r="S14" i="3" s="1"/>
  <c r="U14" i="3" s="1"/>
  <c r="J14" i="3" s="1"/>
  <c r="M14" i="3" s="1"/>
  <c r="G14" i="3" s="1"/>
  <c r="I15" i="16" s="1"/>
  <c r="T14" i="6"/>
  <c r="T13" i="6"/>
  <c r="R14" i="6"/>
  <c r="S14" i="6" s="1"/>
  <c r="K13" i="6"/>
  <c r="K14" i="6"/>
  <c r="T12" i="7"/>
  <c r="R14" i="8"/>
  <c r="S14" i="8" s="1"/>
  <c r="O15" i="6"/>
  <c r="R12" i="7"/>
  <c r="S12" i="7" s="1"/>
  <c r="U12" i="7" s="1"/>
  <c r="J12" i="7" s="1"/>
  <c r="L12" i="7" s="1"/>
  <c r="S13" i="16" s="1"/>
  <c r="T13" i="8"/>
  <c r="O12" i="6"/>
  <c r="E69" i="6"/>
  <c r="D15" i="6"/>
  <c r="T13" i="3"/>
  <c r="K14" i="3"/>
  <c r="T14" i="3"/>
  <c r="R13" i="3"/>
  <c r="S13" i="3" s="1"/>
  <c r="U13" i="3" s="1"/>
  <c r="J13" i="3" s="1"/>
  <c r="L13" i="3" s="1"/>
  <c r="P14" i="16"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M14"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I13" i="9"/>
  <c r="L13" i="8"/>
  <c r="T14" i="16" s="1"/>
  <c r="L13" i="6"/>
  <c r="R14" i="16" s="1"/>
  <c r="Q14" i="13"/>
  <c r="N30" i="3"/>
  <c r="T15" i="3"/>
  <c r="K15" i="3"/>
  <c r="L15" i="3" s="1"/>
  <c r="P16" i="16" s="1"/>
  <c r="T12" i="3"/>
  <c r="R12" i="6"/>
  <c r="S12" i="6" s="1"/>
  <c r="K15" i="6"/>
  <c r="I15" i="13"/>
  <c r="L15" i="7"/>
  <c r="S16" i="16" s="1"/>
  <c r="E14" i="9"/>
  <c r="L14" i="3"/>
  <c r="P15" i="16" s="1"/>
  <c r="T12" i="6"/>
  <c r="M12" i="7"/>
  <c r="R15" i="6"/>
  <c r="S15" i="6" s="1"/>
  <c r="U15" i="6" s="1"/>
  <c r="J15" i="6" s="1"/>
  <c r="M15" i="6" s="1"/>
  <c r="G15" i="6" s="1"/>
  <c r="T15" i="6"/>
  <c r="U14" i="6"/>
  <c r="J14" i="6" s="1"/>
  <c r="M14" i="6" s="1"/>
  <c r="G14" i="6" s="1"/>
  <c r="M15" i="13" s="1"/>
  <c r="M13" i="3"/>
  <c r="G13" i="3" s="1"/>
  <c r="I14" i="13" s="1"/>
  <c r="U14" i="8"/>
  <c r="J14" i="8" s="1"/>
  <c r="N30" i="8" s="1"/>
  <c r="K12" i="6"/>
  <c r="M13" i="9"/>
  <c r="U14" i="13"/>
  <c r="U12" i="13"/>
  <c r="M11" i="9"/>
  <c r="R12" i="8"/>
  <c r="S12" i="8" s="1"/>
  <c r="T13" i="2"/>
  <c r="U8" i="6"/>
  <c r="J8" i="6" s="1"/>
  <c r="M8" i="6" s="1"/>
  <c r="G8" i="6" s="1"/>
  <c r="M9" i="13" s="1"/>
  <c r="R13" i="2"/>
  <c r="S13" i="2" s="1"/>
  <c r="U13" i="2" s="1"/>
  <c r="J13" i="2" s="1"/>
  <c r="M13" i="2" s="1"/>
  <c r="G13" i="2" s="1"/>
  <c r="E14" i="16" s="1"/>
  <c r="T15" i="8"/>
  <c r="V11" i="13"/>
  <c r="T12" i="8"/>
  <c r="K12" i="8"/>
  <c r="Q12" i="9"/>
  <c r="R10" i="7"/>
  <c r="S10" i="7" s="1"/>
  <c r="U10" i="7" s="1"/>
  <c r="J10" i="7" s="1"/>
  <c r="T11" i="7"/>
  <c r="T10" i="7"/>
  <c r="L8" i="2"/>
  <c r="N9" i="16" s="1"/>
  <c r="Y13" i="13"/>
  <c r="K13" i="2"/>
  <c r="R15" i="5"/>
  <c r="S15" i="5" s="1"/>
  <c r="U15" i="5" s="1"/>
  <c r="J15" i="5" s="1"/>
  <c r="M15" i="5" s="1"/>
  <c r="K11" i="7"/>
  <c r="K15" i="8"/>
  <c r="T9" i="7"/>
  <c r="N10" i="9"/>
  <c r="R11" i="7"/>
  <c r="S11" i="7" s="1"/>
  <c r="U11" i="7" s="1"/>
  <c r="J11" i="7"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G12" i="13"/>
  <c r="G12" i="16"/>
  <c r="N9" i="9"/>
  <c r="P10" i="16"/>
  <c r="M14" i="7"/>
  <c r="N30" i="7"/>
  <c r="L14" i="7"/>
  <c r="S15" i="16" s="1"/>
  <c r="L8" i="7"/>
  <c r="S9" i="16" s="1"/>
  <c r="O13" i="9"/>
  <c r="V14" i="13"/>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X14" i="13" l="1"/>
  <c r="P13" i="9"/>
  <c r="U12" i="6"/>
  <c r="J12" i="6" s="1"/>
  <c r="M12" i="6" s="1"/>
  <c r="Q15" i="9"/>
  <c r="Y16" i="13"/>
  <c r="N14" i="9"/>
  <c r="V15" i="13"/>
  <c r="L14" i="6"/>
  <c r="R15" i="16" s="1"/>
  <c r="L15" i="6"/>
  <c r="R16" i="16" s="1"/>
  <c r="U12" i="8"/>
  <c r="J12" i="8" s="1"/>
  <c r="M12" i="8" s="1"/>
  <c r="G12" i="8" s="1"/>
  <c r="K13" i="16" s="1"/>
  <c r="G12" i="6"/>
  <c r="G12" i="9" s="1"/>
  <c r="N30" i="6"/>
  <c r="G14" i="9"/>
  <c r="E13" i="9"/>
  <c r="I14" i="16"/>
  <c r="L12" i="6"/>
  <c r="R13" i="16" s="1"/>
  <c r="M14" i="8"/>
  <c r="G14" i="8" s="1"/>
  <c r="K15" i="16" s="1"/>
  <c r="L14" i="8"/>
  <c r="T15" i="16" s="1"/>
  <c r="L8" i="6"/>
  <c r="R9" i="16" s="1"/>
  <c r="L10" i="7"/>
  <c r="S11" i="16" s="1"/>
  <c r="L15" i="5"/>
  <c r="Q16" i="16" s="1"/>
  <c r="T9" i="13"/>
  <c r="L8"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P14" i="9"/>
  <c r="X15" i="13"/>
  <c r="P15" i="9"/>
  <c r="M13" i="13"/>
  <c r="L12" i="8"/>
  <c r="T13" i="16" s="1"/>
  <c r="P12" i="9"/>
  <c r="X13" i="13"/>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<sst xmlns="http://schemas.openxmlformats.org/spreadsheetml/2006/main" count="654" uniqueCount="141">
  <si>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</si>
  <si>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</si>
  <si>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</si>
  <si>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</si>
  <si>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</si>
  <si>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</si>
  <si>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</si>
  <si>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</si>
  <si>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</si>
  <si>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</si>
  <si>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</si>
  <si>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</si>
  <si>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</si>
  <si>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</si>
  <si>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</si>
  <si>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</si>
  <si>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</si>
  <si>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</si>
  <si>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</si>
  <si>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</si>
  <si>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</si>
  <si>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</si>
  <si>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</si>
  <si>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</si>
  <si>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</si>
  <si>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</si>
  <si>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</si>
  <si>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</si>
  <si>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</si>
  <si>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</si>
  <si>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</si>
  <si>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</si>
  <si>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</si>
  <si>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</si>
  <si>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</si>
  <si>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</si>
  <si>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</si>
  <si>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</si>
  <si>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</si>
  <si>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</si>
  <si>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</si>
  <si>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</si>
  <si>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</si>
  <si>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</si>
  <si>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</si>
  <si>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</si>
  <si>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</si>
  <si>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</si>
  <si>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</si>
  <si>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</si>
  <si>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</si>
  <si>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</si>
  <si>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</si>
  <si>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</si>
  <si>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</si>
  <si>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</si>
  <si>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</si>
  <si>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</si>
  <si>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</si>
  <si>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</si>
  <si>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</si>
  <si>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</si>
  <si>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</si>
  <si>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</si>
  <si>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</si>
  <si>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</si>
  <si>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</si>
  <si>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</si>
  <si>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</si>
  <si>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</si>
  <si>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</si>
  <si>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</si>
  <si>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</si>
  <si>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</si>
  <si>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</si>
  <si>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</si>
  <si>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</si>
  <si>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</si>
  <si>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</si>
  <si>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</si>
  <si>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</si>
  <si>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</si>
  <si>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</si>
  <si>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</si>
  <si>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</si>
  <si>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</si>
  <si>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</si>
  <si>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</si>
  <si>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</si>
  <si>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</si>
  <si>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</si>
  <si>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</si>
  <si>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</si>
  <si>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</si>
  <si>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</si>
  <si>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</si>
  <si>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</si>
  <si>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</si>
  <si>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</si>
  <si>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</si>
  <si>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</si>
  <si>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</si>
  <si>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</si>
  <si>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</si>
  <si>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</si>
  <si>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</si>
  <si>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</si>
  <si>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</si>
  <si>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</si>
  <si>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</si>
  <si>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</si>
  <si>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</si>
  <si>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</si>
  <si>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</si>
  <si>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</si>
  <si>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</si>
  <si>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</si>
  <si>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</si>
  <si>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</si>
  <si>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</si>
  <si>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</si>
  <si>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</si>
  <si>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</si>
  <si>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</si>
  <si>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</si>
  <si>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</si>
  <si>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</si>
  <si>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</si>
  <si>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</si>
  <si>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</si>
  <si>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</si>
  <si>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</si>
  <si>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</si>
  <si>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</si>
  <si>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</si>
  <si>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</si>
  <si>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Dickinson</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</si>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</sst>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Dickinson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N=3</c:v>
                </c:pt>
                <c:pt idx="3">
                  <c:v>Petitions, total N=15</c:v>
                </c:pt>
                <c:pt idx="4">
                  <c:v>Detentions, total N=0</c:v>
                </c:pt>
                <c:pt idx="5">
                  <c:v>Referrals, total N=16</c:v>
                </c:pt>
                <c:pt idx="6">
                  <c:v>Arrests, total N=11</c:v>
                </c:pt>
                <c:pt idx="7">
                  <c:v>Population, total N=2284</c:v>
                </c:pt>
              </c:strCache>
            </c:strRef>
          </c:cat>
          <c:val>
            <c:numRef>
              <c:f>'Stacked 100%'!$B$7:$B$14</c:f>
              <c:numCache>
                <c:formatCode>0%</c:formatCode>
                <c:ptCount val="8"/>
                <c:pt idx="0">
                  <c:v>0</c:v>
                </c:pt>
                <c:pt idx="1">
                  <c:v>0</c:v>
                </c:pt>
                <c:pt idx="2">
                  <c:v>0</c:v>
                </c:pt>
                <c:pt idx="3">
                  <c:v>0</c:v>
                </c:pt>
                <c:pt idx="4">
                  <c:v>0</c:v>
                </c:pt>
                <c:pt idx="5">
                  <c:v>0</c:v>
                </c:pt>
                <c:pt idx="6">
                  <c:v>0</c:v>
                </c:pt>
                <c:pt idx="7">
                  <c:v>1.0507880910683012E-2</c:v>
                </c:pt>
              </c:numCache>
            </c:numRef>
          </c:val>
          <c:extLst>
            <c:ext xmlns:c16="http://schemas.microsoft.com/office/drawing/2014/chart" uri="{C3380CC4-5D6E-409C-BE32-E72D297353CC}">
              <c16:uniqueId val="{00000000-07FF-41DE-8001-E0FEDD287D5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N=3</c:v>
                </c:pt>
                <c:pt idx="3">
                  <c:v>Petitions, total N=15</c:v>
                </c:pt>
                <c:pt idx="4">
                  <c:v>Detentions, total N=0</c:v>
                </c:pt>
                <c:pt idx="5">
                  <c:v>Referrals, total N=16</c:v>
                </c:pt>
                <c:pt idx="6">
                  <c:v>Arrests, total N=11</c:v>
                </c:pt>
                <c:pt idx="7">
                  <c:v>Population, total N=2284</c:v>
                </c:pt>
              </c:strCache>
            </c:strRef>
          </c:cat>
          <c:val>
            <c:numRef>
              <c:f>'Stacked 100%'!$C$7:$C$14</c:f>
              <c:numCache>
                <c:formatCode>0%</c:formatCode>
                <c:ptCount val="8"/>
                <c:pt idx="0">
                  <c:v>0</c:v>
                </c:pt>
                <c:pt idx="1">
                  <c:v>0</c:v>
                </c:pt>
                <c:pt idx="2">
                  <c:v>0</c:v>
                </c:pt>
                <c:pt idx="3">
                  <c:v>0</c:v>
                </c:pt>
                <c:pt idx="4">
                  <c:v>0</c:v>
                </c:pt>
                <c:pt idx="5">
                  <c:v>0</c:v>
                </c:pt>
                <c:pt idx="6">
                  <c:v>0</c:v>
                </c:pt>
                <c:pt idx="7">
                  <c:v>3.2399299474605951E-2</c:v>
                </c:pt>
              </c:numCache>
            </c:numRef>
          </c:val>
          <c:extLst>
            <c:ext xmlns:c16="http://schemas.microsoft.com/office/drawing/2014/chart" uri="{C3380CC4-5D6E-409C-BE32-E72D297353CC}">
              <c16:uniqueId val="{00000001-07FF-41DE-8001-E0FEDD287D5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N=3</c:v>
                </c:pt>
                <c:pt idx="3">
                  <c:v>Petitions, total N=15</c:v>
                </c:pt>
                <c:pt idx="4">
                  <c:v>Detentions, total N=0</c:v>
                </c:pt>
                <c:pt idx="5">
                  <c:v>Referrals, total N=16</c:v>
                </c:pt>
                <c:pt idx="6">
                  <c:v>Arrests, total N=11</c:v>
                </c:pt>
                <c:pt idx="7">
                  <c:v>Population, total N=2284</c:v>
                </c:pt>
              </c:strCache>
            </c:strRef>
          </c:cat>
          <c:val>
            <c:numRef>
              <c:f>'Stacked 100%'!$H$7:$H$14</c:f>
              <c:numCache>
                <c:formatCode>0%</c:formatCode>
                <c:ptCount val="8"/>
                <c:pt idx="0">
                  <c:v>0</c:v>
                </c:pt>
                <c:pt idx="1">
                  <c:v>0</c:v>
                </c:pt>
                <c:pt idx="2">
                  <c:v>0</c:v>
                </c:pt>
                <c:pt idx="3">
                  <c:v>0</c:v>
                </c:pt>
                <c:pt idx="4">
                  <c:v>0</c:v>
                </c:pt>
                <c:pt idx="5">
                  <c:v>0</c:v>
                </c:pt>
                <c:pt idx="6">
                  <c:v>0</c:v>
                </c:pt>
                <c:pt idx="7">
                  <c:v>8.6262157213356616E-6</c:v>
                </c:pt>
              </c:numCache>
            </c:numRef>
          </c:val>
          <c:extLst>
            <c:ext xmlns:c16="http://schemas.microsoft.com/office/drawing/2014/chart" uri="{C3380CC4-5D6E-409C-BE32-E72D297353CC}">
              <c16:uniqueId val="{00000002-07FF-41DE-8001-E0FEDD287D5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N=3</c:v>
                </c:pt>
                <c:pt idx="3">
                  <c:v>Petitions, total N=15</c:v>
                </c:pt>
                <c:pt idx="4">
                  <c:v>Detentions, total N=0</c:v>
                </c:pt>
                <c:pt idx="5">
                  <c:v>Referrals, total N=16</c:v>
                </c:pt>
                <c:pt idx="6">
                  <c:v>Arrests, total N=11</c:v>
                </c:pt>
                <c:pt idx="7">
                  <c:v>Population, total N=2284</c:v>
                </c:pt>
              </c:strCache>
            </c:strRef>
          </c:cat>
          <c:val>
            <c:numRef>
              <c:f>'Stacked 100%'!$I$7:$I$14</c:f>
              <c:numCache>
                <c:formatCode>0%</c:formatCode>
                <c:ptCount val="8"/>
                <c:pt idx="0">
                  <c:v>0</c:v>
                </c:pt>
                <c:pt idx="1">
                  <c:v>1</c:v>
                </c:pt>
                <c:pt idx="2">
                  <c:v>1</c:v>
                </c:pt>
                <c:pt idx="3">
                  <c:v>1</c:v>
                </c:pt>
                <c:pt idx="4">
                  <c:v>0</c:v>
                </c:pt>
                <c:pt idx="5">
                  <c:v>1</c:v>
                </c:pt>
                <c:pt idx="6">
                  <c:v>1</c:v>
                </c:pt>
                <c:pt idx="7">
                  <c:v>0.93739054290718038</c:v>
                </c:pt>
              </c:numCache>
            </c:numRef>
          </c:val>
          <c:extLst>
            <c:ext xmlns:c16="http://schemas.microsoft.com/office/drawing/2014/chart" uri="{C3380CC4-5D6E-409C-BE32-E72D297353CC}">
              <c16:uniqueId val="{00000003-07FF-41DE-8001-E0FEDD287D5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N=3</c:v>
                </c:pt>
                <c:pt idx="3">
                  <c:v>Petitions, total N=15</c:v>
                </c:pt>
                <c:pt idx="4">
                  <c:v>Detentions, total N=0</c:v>
                </c:pt>
                <c:pt idx="5">
                  <c:v>Referrals, total N=16</c:v>
                </c:pt>
                <c:pt idx="6">
                  <c:v>Arrests, total N=11</c:v>
                </c:pt>
                <c:pt idx="7">
                  <c:v>Population, total N=2284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7FF-41DE-8001-E0FEDD287D5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2284</v>
      </c>
      <c r="C6" s="11">
        <v>2141</v>
      </c>
      <c r="D6" s="11">
        <v>24</v>
      </c>
      <c r="E6" s="11">
        <v>74</v>
      </c>
      <c r="F6" s="11">
        <v>20</v>
      </c>
      <c r="G6" s="11"/>
      <c r="H6" s="11">
        <v>25</v>
      </c>
      <c r="I6" s="11"/>
      <c r="J6" s="91">
        <f>SUM(D6:I6)</f>
        <v>143</v>
      </c>
      <c r="K6" s="92"/>
    </row>
    <row r="7" spans="1:11" ht="15.75" customHeight="1" thickBot="1">
      <c r="A7" s="10" t="s">
        <v>8</v>
      </c>
      <c r="B7" s="11">
        <f t="shared" ref="B7:B15" si="0">SUM(C7:I7)+K7</f>
        <v>11</v>
      </c>
      <c r="C7" s="11">
        <v>11</v>
      </c>
      <c r="D7" s="11"/>
      <c r="E7" s="11"/>
      <c r="F7" s="11"/>
      <c r="G7" s="11"/>
      <c r="H7" s="11"/>
      <c r="I7" s="11"/>
      <c r="J7" s="91">
        <f t="shared" ref="J7:J15" si="1">SUM(D7:I7)</f>
        <v>0</v>
      </c>
      <c r="K7" s="92"/>
    </row>
    <row r="8" spans="1:11" ht="15.75" customHeight="1" thickBot="1">
      <c r="A8" s="10" t="s">
        <v>9</v>
      </c>
      <c r="B8" s="11">
        <f t="shared" si="0"/>
        <v>16</v>
      </c>
      <c r="C8" s="11">
        <v>16</v>
      </c>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15</v>
      </c>
      <c r="C11" s="11">
        <v>15</v>
      </c>
      <c r="D11" s="11"/>
      <c r="E11" s="11"/>
      <c r="F11" s="11"/>
      <c r="G11" s="11"/>
      <c r="H11" s="11"/>
      <c r="I11" s="11"/>
      <c r="J11" s="91">
        <f t="shared" si="1"/>
        <v>0</v>
      </c>
      <c r="K11" s="92"/>
    </row>
    <row r="12" spans="1:11" ht="15.75" customHeight="1" thickBot="1">
      <c r="A12" s="10" t="s">
        <v>13</v>
      </c>
      <c r="B12" s="11">
        <f t="shared" si="0"/>
        <v>3</v>
      </c>
      <c r="C12" s="11">
        <v>3</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3</v>
      </c>
      <c r="C14" s="11">
        <v>3</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2141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5.1377860812704341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2130</v>
      </c>
      <c r="R7" s="42">
        <f t="shared" ref="R7:R15" si="5">SUM(N7:Q7)</f>
        <v>2141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v>
      </c>
      <c r="D8" s="34">
        <f>IF((AND(C67&gt;0,C8&gt;0)),(C8/C67),0)</f>
        <v>145.45454545454547</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-5</v>
      </c>
      <c r="R8" s="42">
        <f t="shared" si="5"/>
        <v>11.05</v>
      </c>
      <c r="S8" s="30">
        <f t="shared" si="6"/>
        <v>7.0720000000000018</v>
      </c>
      <c r="T8" s="30">
        <f t="shared" si="7"/>
        <v>-43.56</v>
      </c>
      <c r="U8" s="31">
        <f t="shared" si="8"/>
        <v>-0.16235078053259874</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93.75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v>
      </c>
      <c r="R11" s="42">
        <f t="shared" si="5"/>
        <v>16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12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100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0</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2.141</v>
      </c>
      <c r="D42" s="56">
        <f>E6/1000</f>
        <v>0</v>
      </c>
      <c r="E42" s="56">
        <f>MAX(C42:D42)</f>
        <v>2.141</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2.141</v>
      </c>
      <c r="D48" s="56">
        <f>D42</f>
        <v>0</v>
      </c>
      <c r="E48" s="56">
        <f>MAX(C48:D48)</f>
        <v>2.141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2.141</v>
      </c>
      <c r="D54" s="56">
        <f>D48</f>
        <v>0</v>
      </c>
      <c r="E54" s="56">
        <f>MAX(C54:D54)</f>
        <v>2.141</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2.141</v>
      </c>
      <c r="D60" s="56">
        <f>D54</f>
        <v>0</v>
      </c>
      <c r="E60" s="56">
        <f>MAX(C60:D60)</f>
        <v>2.141</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2.141</v>
      </c>
      <c r="D66" s="56">
        <f>D60</f>
        <v>0</v>
      </c>
      <c r="E66" s="56">
        <f>MAX(C66:D66)</f>
        <v>2.141</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2141</v>
      </c>
      <c r="D6" s="34"/>
      <c r="E6" s="33">
        <f>'Data Entry'!J6</f>
        <v>143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5.1377860812704341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143</v>
      </c>
      <c r="P7" s="42">
        <f t="shared" ref="P7:P15" si="4">C7</f>
        <v>11</v>
      </c>
      <c r="Q7" s="42">
        <f>C6-C7</f>
        <v>2130</v>
      </c>
      <c r="R7" s="42">
        <f t="shared" ref="R7:R15" si="5">SUM(N7:Q7)</f>
        <v>2284</v>
      </c>
      <c r="S7" s="30">
        <f t="shared" ref="S7:S15" si="6">R7*((((N7*Q7)-(O7*P7))^2))</f>
        <v>5651367436</v>
      </c>
      <c r="T7" s="30">
        <f t="shared" ref="T7:T15" si="7">(N7+O7)*(P7+Q7)*(N7+P7)*(O7+Q7)</f>
        <v>7654993489</v>
      </c>
      <c r="U7" s="31">
        <f t="shared" ref="U7:U15" si="8">IF((S7&gt;0),S7/T7,"- -")</f>
        <v>0.73825894745970044</v>
      </c>
    </row>
    <row r="8" spans="2:21" ht="18" customHeight="1">
      <c r="B8" s="32" t="str">
        <f>'Data Entry'!A8</f>
        <v>3. Refer to Juvenile Court</v>
      </c>
      <c r="C8" s="33">
        <f>'Data Entry'!C8</f>
        <v>16</v>
      </c>
      <c r="D8" s="34">
        <f>IF((AND(C67&gt;0,C8&gt;0)),(C8/C67),0)</f>
        <v>145.45454545454547</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v>
      </c>
      <c r="Q8" s="42">
        <f>(C$67*L67)-C8</f>
        <v>-5</v>
      </c>
      <c r="R8" s="42">
        <f t="shared" si="5"/>
        <v>11.05</v>
      </c>
      <c r="S8" s="30">
        <f t="shared" si="6"/>
        <v>7.0720000000000018</v>
      </c>
      <c r="T8" s="30">
        <f t="shared" si="7"/>
        <v>-43.56</v>
      </c>
      <c r="U8" s="31">
        <f t="shared" si="8"/>
        <v>-0.16235078053259874</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93.75</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v>
      </c>
      <c r="R11" s="42">
        <f t="shared" si="5"/>
        <v>16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12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100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0</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2.141</v>
      </c>
      <c r="D42" s="56">
        <f>E6/1000</f>
        <v>0.14299999999999999</v>
      </c>
      <c r="E42" s="56">
        <f>MAX(C42:D42)</f>
        <v>2.141</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2.141</v>
      </c>
      <c r="D48" s="56">
        <f>D42</f>
        <v>0.14299999999999999</v>
      </c>
      <c r="E48" s="56">
        <f>MAX(C48:D48)</f>
        <v>2.141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2.141</v>
      </c>
      <c r="D54" s="56">
        <f>D48</f>
        <v>0.14299999999999999</v>
      </c>
      <c r="E54" s="56">
        <f>MAX(C54:D54)</f>
        <v>2.141</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2.141</v>
      </c>
      <c r="D60" s="56">
        <f>D54</f>
        <v>0.14299999999999999</v>
      </c>
      <c r="E60" s="56">
        <f>MAX(C60:D60)</f>
        <v>2.141</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2.141</v>
      </c>
      <c r="D66" s="56">
        <f>D60</f>
        <v>0.14299999999999999</v>
      </c>
      <c r="E66" s="56">
        <f>MAX(C66:D66)</f>
        <v>2.141</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Dickinson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2284</v>
      </c>
      <c r="D3" s="57">
        <f>'Data Entry'!C6</f>
        <v>2141</v>
      </c>
      <c r="E3" s="57">
        <f>'Data Entry'!D6</f>
        <v>24</v>
      </c>
      <c r="F3" s="57">
        <f>'Data Entry'!E6</f>
        <v>74</v>
      </c>
      <c r="G3" s="57">
        <f>'Data Entry'!F6</f>
        <v>20</v>
      </c>
      <c r="H3" s="57">
        <f>'Data Entry'!G6</f>
        <v>0</v>
      </c>
      <c r="I3" s="57">
        <f>'Data Entry'!H6</f>
        <v>25</v>
      </c>
      <c r="J3" s="57">
        <f>'Data Entry'!I6</f>
        <v>0</v>
      </c>
      <c r="K3" s="57">
        <f>'Data Entry'!J6</f>
        <v>143</v>
      </c>
    </row>
    <row r="4" spans="2:11" ht="15" customHeight="1">
      <c r="B4" s="16" t="s">
        <v>8</v>
      </c>
      <c r="C4" s="1">
        <f>IF((C$3&gt;0),(1000*('Data Entry'!B7/'Data Entry'!B$6)), 0)</f>
        <v>4.8161120840630476</v>
      </c>
      <c r="D4" s="1">
        <f>IF((D$3&gt;0),(1000*('Data Entry'!C7/'Data Entry'!C$6)), 0)</f>
        <v>5.1377860812704341</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7.0052539404553418</v>
      </c>
      <c r="D5" s="1">
        <f>IF((D$3&gt;0),(1000*('Data Entry'!C8/'Data Entry'!C$6)), 0)</f>
        <v>7.4731433909388132</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6.5674255691768826</v>
      </c>
      <c r="D8" s="1">
        <f>IF((D$3&gt;0),(1000*('Data Entry'!C11/'Data Entry'!C$6)), 0)</f>
        <v>7.0060719290051372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1.3134851138353765</v>
      </c>
      <c r="D9" s="1">
        <f>IF((D$3&gt;0),(1000*('Data Entry'!C12/'Data Entry'!C$6)), 0)</f>
        <v>1.4012143858010278</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1.3134851138353765</v>
      </c>
      <c r="D11" s="1">
        <f>IF((D$3&gt;0),(1000*('Data Entry'!C14/'Data Entry'!C$6)), 0)</f>
        <v>1.4012143858010278</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Dickinson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Dickinson</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2141</v>
      </c>
      <c r="D7" s="104">
        <f>'Data Entry'!D6</f>
        <v>24</v>
      </c>
      <c r="E7" s="105"/>
      <c r="F7" s="106">
        <f>'Data Entry'!E6</f>
        <v>74</v>
      </c>
      <c r="G7" s="105"/>
      <c r="H7" s="106">
        <f>'Data Entry'!F6</f>
        <v>20</v>
      </c>
      <c r="I7" s="105"/>
      <c r="J7" s="106">
        <f>'Data Entry'!G6</f>
        <v>0</v>
      </c>
      <c r="K7" s="105"/>
      <c r="L7" s="106">
        <f>'Data Entry'!H6</f>
        <v>25</v>
      </c>
      <c r="M7" s="105"/>
      <c r="N7" s="106">
        <f>'Data Entry'!I6</f>
        <v>0</v>
      </c>
      <c r="O7" s="105"/>
      <c r="P7" s="106">
        <f>'Data Entry'!J6</f>
        <v>143</v>
      </c>
      <c r="Q7" s="107"/>
    </row>
    <row r="8" spans="2:26" s="1" customFormat="1" ht="15" customHeight="1">
      <c r="B8" s="142" t="s">
        <v>8</v>
      </c>
      <c r="C8" s="103">
        <f>'Data Entry'!C7</f>
        <v>11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16</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15</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3</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Dickinson</v>
      </c>
    </row>
    <row r="6" spans="1:12">
      <c r="A6" s="135" t="str">
        <f>CONCATENATE("Percentage of Minorities at Stages of the Juvenile Justice System, ", A5, " 2022")</f>
        <v>Percentage of Minorities at Stages of the Juvenile Justice System, County: Dickinson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14.972027972027973</v>
      </c>
    </row>
    <row r="8" spans="1:12" ht="25.5" customHeight="1">
      <c r="A8" s="151" t="str">
        <f>CONCATENATE("Confinement, total N=", 'Data Entry'!B14)</f>
        <v>Confinement, total N=3</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N=3</v>
      </c>
      <c r="L8">
        <f>I14/(SUM(B14:G14))</f>
        <v>14.972027972027973</v>
      </c>
    </row>
    <row r="9" spans="1:12">
      <c r="A9" s="128" t="str">
        <f>CONCATENATE("Delinquent Findings, total N=", 'Data Entry'!B12)</f>
        <v>Delinquent Findings, total N=3</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N=3</v>
      </c>
      <c r="L9">
        <f>I14/(SUM(B14:G14))</f>
        <v>14.972027972027973</v>
      </c>
    </row>
    <row r="10" spans="1:12">
      <c r="A10" s="128" t="str">
        <f>CONCATENATE("Petitions, total N=", 'Data Entry'!B11)</f>
        <v>Petitions, total N=15</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N=15</v>
      </c>
      <c r="L10">
        <f>I14/(SUM(B14:G14))</f>
        <v>14.972027972027973</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14.972027972027973</v>
      </c>
    </row>
    <row r="12" spans="1:12">
      <c r="A12" s="128" t="str">
        <f>CONCATENATE("Referrals, total N=", 'Data Entry'!B8)</f>
        <v>Referrals, total N=16</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1</v>
      </c>
      <c r="K12" s="96" t="str">
        <f t="shared" si="0"/>
        <v>Referrals, total N=16</v>
      </c>
      <c r="L12">
        <f>I14/(SUM(B14:G14))</f>
        <v>14.972027972027973</v>
      </c>
    </row>
    <row r="13" spans="1:12">
      <c r="A13" s="128" t="str">
        <f>CONCATENATE("Arrests, total N=", 'Data Entry'!B7)</f>
        <v>Arrests, total N=11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N=11</v>
      </c>
      <c r="L13">
        <f>I14/(SUM(B14:G14))</f>
        <v>14.972027972027973</v>
      </c>
    </row>
    <row r="14" spans="1:12">
      <c r="A14" s="128" t="str">
        <f>CONCATENATE("Population, total N=", 'Data Entry'!B6)</f>
        <v>Population, total N=2284</v>
      </c>
      <c r="B14" s="150">
        <f>'Data Entry'!D6/'Data Entry'!B6</f>
        <v>1.0507880910683012E-2</v>
      </c>
      <c r="C14" s="150">
        <f>'Data Entry'!E6/'Data Entry'!B6</f>
        <v>3.2399299474605951E-2</v>
      </c>
      <c r="D14" s="150">
        <f>'Data Entry'!F6/'Data Entry'!B6</f>
        <v>8.7565674255691769E-3</v>
      </c>
      <c r="E14" s="150">
        <f>'Data Entry'!G6/'Data Entry'!B6</f>
        <v>0</v>
      </c>
      <c r="F14" s="150">
        <f>'Data Entry'!H6/'Data Entry'!B6</f>
        <v>1.0945709281961471E-2</v>
      </c>
      <c r="G14" s="150">
        <f>'Data Entry'!I6/'Data Entry'!B6</f>
        <v>0</v>
      </c>
      <c r="H14" s="150">
        <f>SUM(D14:G14)/'Data Entry'!B6</f>
        <v>8.6262157213356616E-6</v>
      </c>
      <c r="I14" s="150">
        <f>'Data Entry'!C6/'Data Entry'!B6</f>
        <v>0.93739054290718038</v>
      </c>
      <c r="K14" s="96" t="str">
        <f t="shared" si="0"/>
        <v>Population, total N=2284</v>
      </c>
      <c r="L14">
        <f>I14/(SUM(B14:G14))</f>
        <v>14.972027972027973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Dickinson</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2141</v>
      </c>
      <c r="D7" s="104">
        <f>'Data Entry'!D6</f>
        <v>24</v>
      </c>
      <c r="E7" s="105"/>
      <c r="F7" s="106">
        <f>'Data Entry'!E6</f>
        <v>74</v>
      </c>
      <c r="G7" s="105"/>
      <c r="H7" s="106">
        <f>'Data Entry'!F6</f>
        <v>20</v>
      </c>
      <c r="I7" s="105"/>
      <c r="J7" s="106">
        <f>'Data Entry'!J6</f>
        <v>143</v>
      </c>
      <c r="K7" s="107"/>
    </row>
    <row r="8" spans="2:30" s="1" customFormat="1" ht="15" customHeight="1">
      <c r="B8" s="121" t="s">
        <v>8</v>
      </c>
      <c r="C8" s="103">
        <f>'Data Entry'!C7</f>
        <v>11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16</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15</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3</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2141</v>
      </c>
      <c r="D6" s="34"/>
      <c r="E6" s="33">
        <f>'Data Entry'!D6</f>
        <v>24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5.1377860812704341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24</v>
      </c>
      <c r="P7" s="42">
        <f t="shared" ref="P7:P15" si="2">C7</f>
        <v>11</v>
      </c>
      <c r="Q7" s="42">
        <f>C6-C7</f>
        <v>2130</v>
      </c>
      <c r="R7" s="42">
        <f t="shared" ref="R7:R15" si="3">SUM(N7:Q7)</f>
        <v>2165</v>
      </c>
      <c r="S7" s="30">
        <f t="shared" ref="S7:S15" si="4">R7*((((N7*Q7)-(O7*P7))^2))</f>
        <v>150891840</v>
      </c>
      <c r="T7" s="30">
        <f t="shared" ref="T7:T15" si="5">(N7+O7)*(P7+Q7)*(N7+P7)*(O7+Q7)</f>
        <v>1217492496</v>
      </c>
      <c r="U7" s="31">
        <f t="shared" ref="U7:U15" si="6">IF((S7&gt;0),S7/T7,"- -")</f>
        <v>0.1239365667515375</v>
      </c>
    </row>
    <row r="8" spans="2:21" ht="18" customHeight="1">
      <c r="B8" s="32" t="str">
        <f>'Data Entry'!A8</f>
        <v>3. Refer to Juvenile Court</v>
      </c>
      <c r="C8" s="33">
        <f>'Data Entry'!C8</f>
        <v>16</v>
      </c>
      <c r="D8" s="34">
        <f>IF((AND(C67&gt;0,C8&gt;0)),(C8/C67),0)</f>
        <v>145.45454545454547</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16</v>
      </c>
      <c r="Q8" s="42">
        <f>(C$67*L67)-C8</f>
        <v>-5</v>
      </c>
      <c r="R8" s="42">
        <f t="shared" si="3"/>
        <v>11.05</v>
      </c>
      <c r="S8" s="30">
        <f t="shared" si="4"/>
        <v>7.0720000000000018</v>
      </c>
      <c r="T8" s="30">
        <f t="shared" si="5"/>
        <v>-43.56</v>
      </c>
      <c r="U8" s="31">
        <f t="shared" si="6"/>
        <v>-0.16235078053259874</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16</v>
      </c>
      <c r="R9" s="42">
        <f t="shared" si="3"/>
        <v>16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16</v>
      </c>
      <c r="R10" s="42">
        <f t="shared" si="3"/>
        <v>16</v>
      </c>
      <c r="S10" s="30">
        <f t="shared" si="4"/>
        <v>0</v>
      </c>
      <c r="T10" s="30">
        <f t="shared" si="5"/>
        <v>0</v>
      </c>
      <c r="U10" s="31" t="str">
        <f t="shared" si="6"/>
        <v>- -</v>
      </c>
    </row>
    <row r="11" spans="2:21" ht="18" customHeight="1">
      <c r="B11" s="32" t="str">
        <f>'Data Entry'!A11</f>
        <v>6. Cases Petitioned (Charge Filed)</v>
      </c>
      <c r="C11" s="33">
        <f>'Data Entry'!C11</f>
        <v>15</v>
      </c>
      <c r="D11" s="34">
        <f>IF(((AND(C68&gt;0,C11&gt;0))),(C11/(C68)),0)</f>
        <v>93.75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15</v>
      </c>
      <c r="Q11" s="42">
        <f>(C$68*L68)-C11</f>
        <v>1</v>
      </c>
      <c r="R11" s="42">
        <f t="shared" si="3"/>
        <v>16</v>
      </c>
      <c r="S11" s="30">
        <f t="shared" si="4"/>
        <v>0</v>
      </c>
      <c r="T11" s="30">
        <f t="shared" si="5"/>
        <v>0</v>
      </c>
      <c r="U11" s="31" t="str">
        <f t="shared" si="6"/>
        <v>- -</v>
      </c>
    </row>
    <row r="12" spans="2:21" ht="18" customHeight="1">
      <c r="B12" s="32" t="str">
        <f>'Data Entry'!A12</f>
        <v>7. Cases Resulting in Delinquent Findings</v>
      </c>
      <c r="C12" s="33">
        <f>'Data Entry'!C12</f>
        <v>3</v>
      </c>
      <c r="D12" s="34">
        <f>IF(((AND(C69&gt;0,C12&gt;0))),(C12/(C69)),0)</f>
        <v>20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3</v>
      </c>
      <c r="Q12" s="42">
        <f>(C69*L69)-C12</f>
        <v>12</v>
      </c>
      <c r="R12" s="42">
        <f t="shared" si="3"/>
        <v>15</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3</v>
      </c>
      <c r="R13" s="42">
        <f t="shared" si="3"/>
        <v>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3</v>
      </c>
      <c r="D14" s="34">
        <f>IF(((AND(C70&gt;0,C14&gt;0))), ((C14/(C70))),0)</f>
        <v>100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3</v>
      </c>
      <c r="Q14" s="42">
        <f>(C70*L70)-C14</f>
        <v>0</v>
      </c>
      <c r="R14" s="42">
        <f t="shared" si="3"/>
        <v>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15</v>
      </c>
      <c r="R15" s="42">
        <f t="shared" si="3"/>
        <v>15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2.141</v>
      </c>
      <c r="D42" s="56">
        <f>E6/1000</f>
        <v>2.4E-2</v>
      </c>
      <c r="E42" s="56">
        <f>MAX(C42:D42)</f>
        <v>2.141</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2.141</v>
      </c>
      <c r="D48" s="56">
        <f>D42</f>
        <v>2.4E-2</v>
      </c>
      <c r="E48" s="56">
        <f>MAX(C48:D48)</f>
        <v>2.141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2.141</v>
      </c>
      <c r="D54" s="56">
        <f>D48</f>
        <v>2.4E-2</v>
      </c>
      <c r="E54" s="56">
        <f>MAX(C54:D54)</f>
        <v>2.141</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2.141</v>
      </c>
      <c r="D60" s="56">
        <f>D54</f>
        <v>2.4E-2</v>
      </c>
      <c r="E60" s="56">
        <f>MAX(C60:D60)</f>
        <v>2.141</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2.141</v>
      </c>
      <c r="D66" s="56">
        <f>D60</f>
        <v>2.4E-2</v>
      </c>
      <c r="E66" s="56">
        <f>MAX(C66:D66)</f>
        <v>2.141</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2141</v>
      </c>
      <c r="D6" s="34"/>
      <c r="E6" s="33">
        <f>'Data Entry'!F6</f>
        <v>20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5.1377860812704341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20</v>
      </c>
      <c r="P7" s="42">
        <f t="shared" ref="P7:P15" si="4">C7</f>
        <v>11</v>
      </c>
      <c r="Q7" s="42">
        <f>C6-C7</f>
        <v>2130</v>
      </c>
      <c r="R7" s="42">
        <f t="shared" ref="R7:R15" si="5">SUM(N7:Q7)</f>
        <v>2161</v>
      </c>
      <c r="S7" s="30">
        <f t="shared" ref="S7:S15" si="6">R7*((((N7*Q7)-(O7*P7))^2))</f>
        <v>104592400</v>
      </c>
      <c r="T7" s="30">
        <f t="shared" ref="T7:T15" si="7">(N7+O7)*(P7+Q7)*(N7+P7)*(O7+Q7)</f>
        <v>1012693000</v>
      </c>
      <c r="U7" s="31">
        <f t="shared" ref="U7:U15" si="8">IF((S7&gt;0),S7/T7,"- -")</f>
        <v>0.10328144857325962</v>
      </c>
    </row>
    <row r="8" spans="2:21" ht="18" customHeight="1">
      <c r="B8" s="32" t="str">
        <f>'Data Entry'!A8</f>
        <v>3. Refer to Juvenile Court</v>
      </c>
      <c r="C8" s="33">
        <f>'Data Entry'!C8</f>
        <v>16</v>
      </c>
      <c r="D8" s="34">
        <f>IF((AND(C67&gt;0,C8&gt;0)),(C8/C67),0)</f>
        <v>145.45454545454547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-5</v>
      </c>
      <c r="R8" s="42">
        <f t="shared" si="5"/>
        <v>11.05</v>
      </c>
      <c r="S8" s="30">
        <f t="shared" si="6"/>
        <v>7.0720000000000018</v>
      </c>
      <c r="T8" s="30">
        <f t="shared" si="7"/>
        <v>-43.56</v>
      </c>
      <c r="U8" s="31">
        <f t="shared" si="8"/>
        <v>-0.16235078053259874</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93.75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v>
      </c>
      <c r="R11" s="42">
        <f t="shared" si="5"/>
        <v>16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12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100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0</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2.141</v>
      </c>
      <c r="D42" s="56">
        <f>E6/1000</f>
        <v>0.02</v>
      </c>
      <c r="E42" s="56">
        <f>MAX(C42:D42)</f>
        <v>2.141</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2.141</v>
      </c>
      <c r="D48" s="56">
        <f>D42</f>
        <v>0.02</v>
      </c>
      <c r="E48" s="56">
        <f>MAX(C48:D48)</f>
        <v>2.141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2.141</v>
      </c>
      <c r="D54" s="56">
        <f>D48</f>
        <v>0.02</v>
      </c>
      <c r="E54" s="56">
        <f>MAX(C54:D54)</f>
        <v>2.141</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2.141</v>
      </c>
      <c r="D60" s="56">
        <f>D54</f>
        <v>0.02</v>
      </c>
      <c r="E60" s="56">
        <f>MAX(C60:D60)</f>
        <v>2.141</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2.141</v>
      </c>
      <c r="D66" s="56">
        <f>D60</f>
        <v>0.02</v>
      </c>
      <c r="E66" s="56">
        <f>MAX(C66:D66)</f>
        <v>2.141</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2141</v>
      </c>
      <c r="D6" s="34"/>
      <c r="E6" s="33">
        <f>'Data Entry'!E6</f>
        <v>74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5.1377860812704341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74</v>
      </c>
      <c r="P7" s="42">
        <f t="shared" ref="P7:P15" si="4">C7</f>
        <v>11</v>
      </c>
      <c r="Q7" s="42">
        <f>C6-C7</f>
        <v>2130</v>
      </c>
      <c r="R7" s="42">
        <f t="shared" ref="R7:R15" si="5">SUM(N7:Q7)</f>
        <v>2215</v>
      </c>
      <c r="S7" s="30">
        <f t="shared" ref="S7:S15" si="6">R7*((((N7*Q7)-(O7*P7))^2))</f>
        <v>1467650140</v>
      </c>
      <c r="T7" s="30">
        <f t="shared" ref="T7:T15" si="7">(N7+O7)*(P7+Q7)*(N7+P7)*(O7+Q7)</f>
        <v>3841073896</v>
      </c>
      <c r="U7" s="31">
        <f t="shared" ref="U7:U15" si="8">IF((S7&gt;0),S7/T7,"- -")</f>
        <v>0.38209370080809296</v>
      </c>
    </row>
    <row r="8" spans="2:21" ht="18" customHeight="1">
      <c r="B8" s="32" t="str">
        <f>'Data Entry'!A8</f>
        <v>3. Refer to Juvenile Court</v>
      </c>
      <c r="C8" s="33">
        <f>'Data Entry'!C8</f>
        <v>16</v>
      </c>
      <c r="D8" s="34">
        <f>IF((AND(C67&gt;0,C8&gt;0)),(C8/C67),0)</f>
        <v>145.45454545454547</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v>
      </c>
      <c r="Q8" s="42">
        <f>(C$67*L67)-C8</f>
        <v>-5</v>
      </c>
      <c r="R8" s="42">
        <f t="shared" si="5"/>
        <v>11.05</v>
      </c>
      <c r="S8" s="30">
        <f t="shared" si="6"/>
        <v>7.0720000000000018</v>
      </c>
      <c r="T8" s="30">
        <f t="shared" si="7"/>
        <v>-43.56</v>
      </c>
      <c r="U8" s="31">
        <f t="shared" si="8"/>
        <v>-0.16235078053259874</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93.75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v>
      </c>
      <c r="R11" s="42">
        <f t="shared" si="5"/>
        <v>16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12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100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0</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2.141</v>
      </c>
      <c r="D42" s="56">
        <f>E6/1000</f>
        <v>7.3999999999999996E-2</v>
      </c>
      <c r="E42" s="56">
        <f>MAX(C42:D42)</f>
        <v>2.141</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2.141</v>
      </c>
      <c r="D48" s="56">
        <f>D42</f>
        <v>7.3999999999999996E-2</v>
      </c>
      <c r="E48" s="56">
        <f>MAX(C48:D48)</f>
        <v>2.141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2.141</v>
      </c>
      <c r="D54" s="56">
        <f>D48</f>
        <v>7.3999999999999996E-2</v>
      </c>
      <c r="E54" s="56">
        <f>MAX(C54:D54)</f>
        <v>2.141</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2.141</v>
      </c>
      <c r="D60" s="56">
        <f>D54</f>
        <v>7.3999999999999996E-2</v>
      </c>
      <c r="E60" s="56">
        <f>MAX(C60:D60)</f>
        <v>2.141</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2.141</v>
      </c>
      <c r="D66" s="56">
        <f>D60</f>
        <v>7.3999999999999996E-2</v>
      </c>
      <c r="E66" s="56">
        <f>MAX(C66:D66)</f>
        <v>2.141</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2141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5.1377860812704341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2130</v>
      </c>
      <c r="R7" s="42">
        <f t="shared" ref="R7:R15" si="5">SUM(N7:Q7)</f>
        <v>2141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16</v>
      </c>
      <c r="D8" s="34">
        <f>IF((AND(C67&gt;0,C8&gt;0)),(C8/C67),0)</f>
        <v>145.45454545454547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16</v>
      </c>
      <c r="Q8" s="42">
        <f>(C$67*L67)-C8</f>
        <v>-5</v>
      </c>
      <c r="R8" s="42">
        <f t="shared" si="5"/>
        <v>11.05</v>
      </c>
      <c r="S8" s="30">
        <f t="shared" si="6"/>
        <v>7.0720000000000018</v>
      </c>
      <c r="T8" s="30">
        <f t="shared" si="7"/>
        <v>-43.56</v>
      </c>
      <c r="U8" s="31">
        <f t="shared" si="8"/>
        <v>-0.16235078053259874</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93.75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v>
      </c>
      <c r="R11" s="42">
        <f t="shared" si="5"/>
        <v>16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12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100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0</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2.141</v>
      </c>
      <c r="D42" s="56">
        <f>E6/1000</f>
        <v>0</v>
      </c>
      <c r="E42" s="56">
        <f>MAX(C42:D42)</f>
        <v>2.141</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2.141</v>
      </c>
      <c r="D48" s="56">
        <f>D42</f>
        <v>0</v>
      </c>
      <c r="E48" s="56">
        <f>MAX(C48:D48)</f>
        <v>2.141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2.141</v>
      </c>
      <c r="D54" s="56">
        <f>D48</f>
        <v>0</v>
      </c>
      <c r="E54" s="56">
        <f>MAX(C54:D54)</f>
        <v>2.141</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2.141</v>
      </c>
      <c r="D60" s="56">
        <f>D54</f>
        <v>0</v>
      </c>
      <c r="E60" s="56">
        <f>MAX(C60:D60)</f>
        <v>2.141</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2.141</v>
      </c>
      <c r="D66" s="56">
        <f>D60</f>
        <v>0</v>
      </c>
      <c r="E66" s="56">
        <f>MAX(C66:D66)</f>
        <v>2.141</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2141</v>
      </c>
      <c r="D6" s="34"/>
      <c r="E6" s="33">
        <f>'Data Entry'!H6</f>
        <v>25</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5.1377860812704341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25</v>
      </c>
      <c r="P7" s="42">
        <f t="shared" ref="P7:P15" si="4">C7</f>
        <v>11</v>
      </c>
      <c r="Q7" s="42">
        <f>C6-C7</f>
        <v>2130</v>
      </c>
      <c r="R7" s="42">
        <f t="shared" ref="R7:R15" si="5">SUM(N7:Q7)</f>
        <v>2166</v>
      </c>
      <c r="S7" s="30">
        <f t="shared" ref="S7:S15" si="6">R7*((((N7*Q7)-(O7*P7))^2))</f>
        <v>163803750</v>
      </c>
      <c r="T7" s="30">
        <f t="shared" ref="T7:T15" si="7">(N7+O7)*(P7+Q7)*(N7+P7)*(O7+Q7)</f>
        <v>1268810125</v>
      </c>
      <c r="U7" s="31">
        <f t="shared" ref="U7:U15" si="8">IF((S7&gt;0),S7/T7,"- -")</f>
        <v>0.12910028598644735</v>
      </c>
    </row>
    <row r="8" spans="2:21" ht="18" customHeight="1">
      <c r="B8" s="32" t="str">
        <f>'Data Entry'!A8</f>
        <v>3. Refer to Juvenile Court</v>
      </c>
      <c r="C8" s="33">
        <f>'Data Entry'!C8</f>
        <v>16</v>
      </c>
      <c r="D8" s="34">
        <f>IF((AND(C67&gt;0,C8&gt;0)),(C8/C67),0)</f>
        <v>145.45454545454547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16</v>
      </c>
      <c r="Q8" s="42">
        <f>(C$67*L67)-C8</f>
        <v>-5</v>
      </c>
      <c r="R8" s="42">
        <f t="shared" si="5"/>
        <v>11.05</v>
      </c>
      <c r="S8" s="30">
        <f t="shared" si="6"/>
        <v>7.0720000000000018</v>
      </c>
      <c r="T8" s="30">
        <f t="shared" si="7"/>
        <v>-43.56</v>
      </c>
      <c r="U8" s="31">
        <f t="shared" si="8"/>
        <v>-0.16235078053259874</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16</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16</v>
      </c>
      <c r="R10" s="42">
        <f t="shared" si="5"/>
        <v>16</v>
      </c>
      <c r="S10" s="30">
        <f t="shared" si="6"/>
        <v>0</v>
      </c>
      <c r="T10" s="30">
        <f t="shared" si="7"/>
        <v>0</v>
      </c>
      <c r="U10" s="31" t="str">
        <f t="shared" si="8"/>
        <v>- -</v>
      </c>
    </row>
    <row r="11" spans="2:21" ht="18" customHeight="1">
      <c r="B11" s="32" t="str">
        <f>'Data Entry'!A11</f>
        <v>6. Cases Petitioned (Charge Filed)</v>
      </c>
      <c r="C11" s="33">
        <f>'Data Entry'!C11</f>
        <v>15</v>
      </c>
      <c r="D11" s="34">
        <f>IF(((AND(C68&gt;0,C11&gt;0))),(C11/(C68)),0)</f>
        <v>93.75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15</v>
      </c>
      <c r="Q11" s="42">
        <f>(C$68*L68)-C11</f>
        <v>1</v>
      </c>
      <c r="R11" s="42">
        <f t="shared" si="5"/>
        <v>16</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20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12</v>
      </c>
      <c r="R12" s="42">
        <f t="shared" si="5"/>
        <v>15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100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0</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15</v>
      </c>
      <c r="R15" s="42">
        <f t="shared" si="5"/>
        <v>15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2.141</v>
      </c>
      <c r="D42" s="56">
        <f>E6/1000</f>
        <v>2.5000000000000001E-2</v>
      </c>
      <c r="E42" s="56">
        <f>MAX(C42:D42)</f>
        <v>2.141</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0.16</v>
      </c>
      <c r="D44" s="56">
        <f>E8/100</f>
        <v>0</v>
      </c>
      <c r="E44" s="56">
        <f>MAX(C44:D44,0)</f>
        <v>0.16</v>
      </c>
      <c r="G44" s="1" t="str">
        <f>B44</f>
        <v>per 100 referrals</v>
      </c>
      <c r="L44" s="57">
        <v>100</v>
      </c>
      <c r="M44" s="57"/>
      <c r="R44" s="49"/>
    </row>
    <row r="45" spans="2:18" ht="15" hidden="1" customHeight="1">
      <c r="B45" s="49" t="s">
        <v>89</v>
      </c>
      <c r="C45" s="49">
        <f>C11/100</f>
        <v>0.15</v>
      </c>
      <c r="D45" s="49">
        <f>E11/100</f>
        <v>0</v>
      </c>
      <c r="E45" s="56">
        <f>MAX(C45:D45,0)</f>
        <v>0.15</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2.141</v>
      </c>
      <c r="D48" s="56">
        <f>D42</f>
        <v>2.5000000000000001E-2</v>
      </c>
      <c r="E48" s="56">
        <f>MAX(C48:D48)</f>
        <v>2.141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0.16</v>
      </c>
      <c r="D50" s="49">
        <f t="shared" si="9"/>
        <v>0</v>
      </c>
      <c r="E50" s="49">
        <f>MAX(C50:D50)</f>
        <v>0.16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0.15</v>
      </c>
      <c r="D51" s="49">
        <f>IF(($E45&gt;0),D45,D44)</f>
        <v>0</v>
      </c>
      <c r="E51" s="49">
        <f>MAX(C51:D51)</f>
        <v>0.15</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2.141</v>
      </c>
      <c r="D54" s="56">
        <f>D48</f>
        <v>2.5000000000000001E-2</v>
      </c>
      <c r="E54" s="56">
        <f>MAX(C54:D54)</f>
        <v>2.141</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0.16</v>
      </c>
      <c r="D56" s="49">
        <f t="shared" si="10"/>
        <v>0</v>
      </c>
      <c r="E56" s="49">
        <f>MAX(C56:D56)</f>
        <v>0.16</v>
      </c>
      <c r="G56" s="1" t="str">
        <f>G50</f>
        <v>per 100 referrals</v>
      </c>
      <c r="L56" s="58">
        <f>IF(($E50&gt;0),L50,L49)</f>
        <v>100</v>
      </c>
      <c r="M56" s="58"/>
    </row>
    <row r="57" spans="2:18" ht="15" hidden="1" customHeight="1">
      <c r="B57" s="49" t="str">
        <f>IF(($E51&gt;0),B51,B49)</f>
        <v>per 100 youth petitioned</v>
      </c>
      <c r="C57" s="49">
        <f>IF(($E51&gt;0),C51,C50)</f>
        <v>0.15</v>
      </c>
      <c r="D57" s="49">
        <f>IF(($E51&gt;0),D51,D50)</f>
        <v>0</v>
      </c>
      <c r="E57" s="49">
        <f>MAX(C57:D57)</f>
        <v>0.15</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2.141</v>
      </c>
      <c r="D60" s="56">
        <f>D54</f>
        <v>2.5000000000000001E-2</v>
      </c>
      <c r="E60" s="56">
        <f>MAX(C60:D60)</f>
        <v>2.141</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0.16</v>
      </c>
      <c r="D62" s="49">
        <f t="shared" si="11"/>
        <v>0</v>
      </c>
      <c r="E62" s="49">
        <f>MAX(C62:D62)</f>
        <v>0.16</v>
      </c>
      <c r="G62" s="1" t="str">
        <f>G56</f>
        <v>per 100 referrals</v>
      </c>
      <c r="L62" s="58">
        <f>IF(($E56&gt;0),L56,L55)</f>
        <v>100</v>
      </c>
      <c r="M62" s="58"/>
    </row>
    <row r="63" spans="2:18" ht="15" hidden="1" customHeight="1">
      <c r="B63" s="49" t="str">
        <f>IF(($E57&gt;0),B57,B55)</f>
        <v>per 100 youth petitioned</v>
      </c>
      <c r="C63" s="49">
        <f>IF(($E57&gt;0),C57,C56)</f>
        <v>0.15</v>
      </c>
      <c r="D63" s="49">
        <f>IF(($E57&gt;0),D57,D56)</f>
        <v>0</v>
      </c>
      <c r="E63" s="49">
        <f>MAX(C63:D63)</f>
        <v>0.15</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2.141</v>
      </c>
      <c r="D66" s="56">
        <f>D60</f>
        <v>2.5000000000000001E-2</v>
      </c>
      <c r="E66" s="56">
        <f>MAX(C66:D66)</f>
        <v>2.141</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0.16</v>
      </c>
      <c r="D68" s="49">
        <f t="shared" si="12"/>
        <v>0</v>
      </c>
      <c r="E68" s="49">
        <f>MAX(C68:D68)</f>
        <v>0.16</v>
      </c>
      <c r="G68" s="1" t="str">
        <f>G62</f>
        <v>per 100 referrals</v>
      </c>
      <c r="L68" s="58">
        <f>IF(($E62&gt;0),L62,L61)</f>
        <v>100</v>
      </c>
      <c r="M68" s="58">
        <f>IF((B68=G68),1,2)</f>
        <v>1</v>
      </c>
    </row>
    <row r="69" spans="2:13" ht="15" hidden="1" customHeight="1">
      <c r="B69" s="49" t="str">
        <f>IF(($E63&gt;0),B63,B61)</f>
        <v>per 100 youth petitioned</v>
      </c>
      <c r="C69" s="49">
        <f>IF(($E63&gt;0),C63,C62)</f>
        <v>0.15</v>
      </c>
      <c r="D69" s="49">
        <f>IF(($E63&gt;0),D63,D62)</f>
        <v>0</v>
      </c>
      <c r="E69" s="49">
        <f>MAX(C69:D69)</f>
        <v>0.15</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U47JMPN4QEAR-1806752177-30449</_dlc_DocId>
    <_dlc_DocIdUrl xmlns="ac3811b5-0f3e-49e2-ba69-f2ffa0c782af">
      <Url>https://michiganphi.sharepoint.com/sites/CMDMC/_layouts/15/DocIdRedir.aspx?ID=U47JMPN4QEAR-1806752177-30449</Url>
      <Description>U47JMPN4QEAR-1806752177-30449</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0F0488-89C0-49D0-AEA3-DBFDC7001DBB}">
  <ds:schemaRefs>
    <ds:schemaRef ds:uri="http://schemas.microsoft.com/sharepoint/v3/contenttype/forms"/>
  </ds:schemaRefs>
</ds:datastoreItem>
</file>

<file path=customXml/itemProps2.xml><?xml version="1.0" encoding="utf-8"?>
<ds:datastoreItem xmlns:ds="http://schemas.openxmlformats.org/officeDocument/2006/customXml" ds:itemID="{8602A8B0-F11E-47F1-A151-663A4C293F02}"/>
</file>

<file path=customXml/itemProps3.xml><?xml version="1.0" encoding="utf-8"?>
<ds:datastoreItem xmlns:ds="http://schemas.openxmlformats.org/officeDocument/2006/customXml" ds:itemID="{3B83E06C-C382-4023-BA59-6DD8E1E8FDA4}">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FA6CF122-80AC-4A9F-B80A-D152BA3B57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0e6cfa49-79ab-4eac-8c75-0b9d78598bf7</vt:lpwstr>
  </property>
</Properties>
</file>