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1A8EAB07-335B-4883-81FC-8FB768231B06}"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c r="G60" i="2"/>
  <c r="G66" i="2" s="1"/>
  <c r="G43" i="2"/>
  <c r="G44" i="2"/>
  <c r="G50" i="2"/>
  <c r="G45" i="2"/>
  <c r="G51" i="2" s="1"/>
  <c r="G57" i="2" s="1"/>
  <c r="G63" i="2" s="1"/>
  <c r="G69" i="2" s="1"/>
  <c r="G46" i="2"/>
  <c r="G52" i="2" s="1"/>
  <c r="G58" i="2" s="1"/>
  <c r="G64" i="2" s="1"/>
  <c r="G70" i="2" s="1"/>
  <c r="L48" i="2"/>
  <c r="L54" i="2"/>
  <c r="L60" i="2" s="1"/>
  <c r="L66" i="2" s="1"/>
  <c r="G49" i="2"/>
  <c r="G55" i="2" s="1"/>
  <c r="G61" i="2" s="1"/>
  <c r="G67" i="2" s="1"/>
  <c r="G56" i="2"/>
  <c r="G62" i="2" s="1"/>
  <c r="G68"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G52" i="3" s="1"/>
  <c r="G58" i="3" s="1"/>
  <c r="G64" i="3" s="1"/>
  <c r="G70"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46" i="6"/>
  <c r="G52" i="6"/>
  <c r="G58" i="6" s="1"/>
  <c r="G64" i="6" s="1"/>
  <c r="G70" i="6" s="1"/>
  <c r="L48" i="6"/>
  <c r="L54" i="6" s="1"/>
  <c r="L60" i="6" s="1"/>
  <c r="L66" i="6" s="1"/>
  <c r="G50" i="6"/>
  <c r="G56" i="6" s="1"/>
  <c r="G62" i="6" s="1"/>
  <c r="G68" i="6" s="1"/>
  <c r="G57" i="6"/>
  <c r="G63" i="6" s="1"/>
  <c r="G69"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G52" i="7" s="1"/>
  <c r="G58" i="7" s="1"/>
  <c r="G64" i="7" s="1"/>
  <c r="G70" i="7" s="1"/>
  <c r="L48" i="7"/>
  <c r="G50" i="7"/>
  <c r="G56" i="7" s="1"/>
  <c r="G62" i="7" s="1"/>
  <c r="G68"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F27" i="4"/>
  <c r="M66" i="4"/>
  <c r="F27" i="6"/>
  <c r="M66" i="6"/>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3" i="7"/>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52" i="3"/>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D64" i="5"/>
  <c r="C64" i="5"/>
  <c r="L56" i="8"/>
  <c r="L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L69" i="7"/>
  <c r="C69" i="7"/>
  <c r="D12" i="7" s="1"/>
  <c r="C63" i="8"/>
  <c r="E63" i="8" s="1"/>
  <c r="D69" i="8" s="1"/>
  <c r="L63" i="8"/>
  <c r="L70" i="8" s="1"/>
  <c r="E63" i="3"/>
  <c r="C69" i="3" s="1"/>
  <c r="D12" i="3" s="1"/>
  <c r="D70" i="6"/>
  <c r="F13" i="6" s="1"/>
  <c r="C70" i="6"/>
  <c r="C70" i="3"/>
  <c r="D14" i="3" s="1"/>
  <c r="L70" i="3"/>
  <c r="L70" i="6"/>
  <c r="D70" i="3"/>
  <c r="F13" i="3" s="1"/>
  <c r="D69" i="7"/>
  <c r="F15" i="7" s="1"/>
  <c r="E63" i="6"/>
  <c r="L69" i="6" s="1"/>
  <c r="Q10" i="3"/>
  <c r="Q10" i="4"/>
  <c r="Q9" i="4"/>
  <c r="B69" i="6"/>
  <c r="M69" i="6" s="1"/>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Q12" i="7"/>
  <c r="B69" i="3"/>
  <c r="M69" i="3" s="1"/>
  <c r="L69" i="3"/>
  <c r="Q12" i="3" s="1"/>
  <c r="O13" i="3"/>
  <c r="D69" i="3"/>
  <c r="E69" i="3" s="1"/>
  <c r="D15" i="7"/>
  <c r="Q15" i="7"/>
  <c r="E70" i="6"/>
  <c r="Q13" i="8"/>
  <c r="F14" i="3"/>
  <c r="D13" i="3"/>
  <c r="O13" i="6"/>
  <c r="F14" i="6"/>
  <c r="O14" i="6"/>
  <c r="E69" i="7"/>
  <c r="D13" i="6"/>
  <c r="C69" i="6"/>
  <c r="D12" i="6" s="1"/>
  <c r="Q14" i="3"/>
  <c r="F12" i="7"/>
  <c r="O12" i="7"/>
  <c r="K12" i="7" s="1"/>
  <c r="D14" i="6"/>
  <c r="O15" i="7"/>
  <c r="Q13" i="3"/>
  <c r="K13" i="3" s="1"/>
  <c r="Q13" i="6"/>
  <c r="R13" i="6" s="1"/>
  <c r="S13" i="6" s="1"/>
  <c r="U13" i="6" s="1"/>
  <c r="J13" i="6" s="1"/>
  <c r="M13" i="6" s="1"/>
  <c r="G13" i="6" s="1"/>
  <c r="Q14" i="6"/>
  <c r="E70" i="3"/>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8" l="1"/>
  <c r="S13" i="8" s="1"/>
  <c r="U13" i="8" s="1"/>
  <c r="J13" i="8" s="1"/>
  <c r="M13" i="8" s="1"/>
  <c r="G13" i="8" s="1"/>
  <c r="K14" i="16" s="1"/>
  <c r="F32" i="3"/>
  <c r="O12" i="3"/>
  <c r="R12" i="3" s="1"/>
  <c r="S12" i="3" s="1"/>
  <c r="F35" i="3"/>
  <c r="F15" i="3"/>
  <c r="O15" i="3"/>
  <c r="R15" i="3" s="1"/>
  <c r="S15" i="3" s="1"/>
  <c r="U15" i="3" s="1"/>
  <c r="J15" i="3" s="1"/>
  <c r="M15" i="3" s="1"/>
  <c r="G15" i="3" s="1"/>
  <c r="I16" i="16" s="1"/>
  <c r="Q12" i="6"/>
  <c r="F12" i="3"/>
  <c r="Q15" i="6"/>
  <c r="R15" i="7"/>
  <c r="S15" i="7" s="1"/>
  <c r="U15" i="7" s="1"/>
  <c r="J15" i="7" s="1"/>
  <c r="M15" i="7" s="1"/>
  <c r="K15" i="7"/>
  <c r="R14" i="3"/>
  <c r="S14" i="3" s="1"/>
  <c r="U14" i="3" s="1"/>
  <c r="J14" i="3" s="1"/>
  <c r="M14" i="3" s="1"/>
  <c r="G14" i="3" s="1"/>
  <c r="I15" i="16" s="1"/>
  <c r="T14" i="6"/>
  <c r="T13" i="6"/>
  <c r="R14" i="6"/>
  <c r="S14" i="6" s="1"/>
  <c r="K13" i="6"/>
  <c r="L13" i="6" s="1"/>
  <c r="R14" i="16" s="1"/>
  <c r="K14" i="6"/>
  <c r="T12" i="7"/>
  <c r="R14" i="8"/>
  <c r="S14" i="8" s="1"/>
  <c r="O15" i="6"/>
  <c r="R12" i="7"/>
  <c r="S12" i="7" s="1"/>
  <c r="U12" i="7" s="1"/>
  <c r="J12" i="7" s="1"/>
  <c r="L12" i="7" s="1"/>
  <c r="S13" i="16" s="1"/>
  <c r="T13" i="8"/>
  <c r="O12" i="6"/>
  <c r="E69" i="6"/>
  <c r="D15" i="6"/>
  <c r="T13" i="3"/>
  <c r="K14" i="3"/>
  <c r="T14" i="3"/>
  <c r="R13" i="3"/>
  <c r="S13" i="3" s="1"/>
  <c r="U13" i="3" s="1"/>
  <c r="J13" i="3" s="1"/>
  <c r="L13" i="3" s="1"/>
  <c r="P14" i="16"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D12" i="5"/>
  <c r="Q15" i="5"/>
  <c r="K15" i="5" s="1"/>
  <c r="I12" i="16"/>
  <c r="E11" i="9"/>
  <c r="I12" i="13"/>
  <c r="G13" i="9"/>
  <c r="M14"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N30" i="3" l="1"/>
  <c r="T15" i="3"/>
  <c r="K15" i="3"/>
  <c r="L15" i="3" s="1"/>
  <c r="P16" i="16" s="1"/>
  <c r="T12" i="3"/>
  <c r="R12" i="6"/>
  <c r="S12" i="6" s="1"/>
  <c r="K15" i="6"/>
  <c r="I15" i="13"/>
  <c r="L15" i="7"/>
  <c r="S16" i="16" s="1"/>
  <c r="E14" i="9"/>
  <c r="L14" i="3"/>
  <c r="P15" i="16" s="1"/>
  <c r="T12" i="6"/>
  <c r="U12" i="6" s="1"/>
  <c r="J12" i="6" s="1"/>
  <c r="M12" i="6" s="1"/>
  <c r="M12" i="7"/>
  <c r="R15" i="6"/>
  <c r="S15" i="6" s="1"/>
  <c r="U15" i="6" s="1"/>
  <c r="J15" i="6" s="1"/>
  <c r="M15" i="6" s="1"/>
  <c r="G15" i="6" s="1"/>
  <c r="T15" i="6"/>
  <c r="U14" i="6"/>
  <c r="J14" i="6" s="1"/>
  <c r="M14" i="6" s="1"/>
  <c r="G14" i="6" s="1"/>
  <c r="M15" i="13" s="1"/>
  <c r="M13" i="3"/>
  <c r="G13" i="3" s="1"/>
  <c r="I14" i="13" s="1"/>
  <c r="U14" i="8"/>
  <c r="J14" i="8" s="1"/>
  <c r="N30" i="8" s="1"/>
  <c r="K12" i="6"/>
  <c r="M13" i="9"/>
  <c r="U14" i="13"/>
  <c r="U12" i="13"/>
  <c r="M11" i="9"/>
  <c r="R12" i="8"/>
  <c r="S12" i="8" s="1"/>
  <c r="T13" i="2"/>
  <c r="U8" i="6"/>
  <c r="J8" i="6" s="1"/>
  <c r="M8" i="6" s="1"/>
  <c r="G8" i="6" s="1"/>
  <c r="M9" i="13" s="1"/>
  <c r="R13" i="2"/>
  <c r="S13" i="2" s="1"/>
  <c r="U13" i="2" s="1"/>
  <c r="J13" i="2" s="1"/>
  <c r="M13" i="2" s="1"/>
  <c r="G13" i="2" s="1"/>
  <c r="E14" i="16" s="1"/>
  <c r="T15" i="8"/>
  <c r="V11" i="13"/>
  <c r="T12" i="8"/>
  <c r="K12" i="8"/>
  <c r="Q12" i="9"/>
  <c r="R10" i="7"/>
  <c r="S10" i="7" s="1"/>
  <c r="U10" i="7" s="1"/>
  <c r="J10" i="7" s="1"/>
  <c r="T11" i="7"/>
  <c r="T10" i="7"/>
  <c r="L8" i="2"/>
  <c r="N9" i="16" s="1"/>
  <c r="Y13" i="13"/>
  <c r="K13" i="2"/>
  <c r="R15" i="5"/>
  <c r="S15" i="5" s="1"/>
  <c r="U15" i="5" s="1"/>
  <c r="J15" i="5" s="1"/>
  <c r="M15" i="5" s="1"/>
  <c r="K11" i="7"/>
  <c r="K15" i="8"/>
  <c r="T9" i="7"/>
  <c r="N10" i="9"/>
  <c r="R11" i="7"/>
  <c r="S11" i="7" s="1"/>
  <c r="U11" i="7" s="1"/>
  <c r="J11" i="7" s="1"/>
  <c r="K12" i="5"/>
  <c r="L12" i="5" s="1"/>
  <c r="Q13" i="16" s="1"/>
  <c r="T12" i="5"/>
  <c r="K10" i="7"/>
  <c r="R14" i="2"/>
  <c r="S14" i="2" s="1"/>
  <c r="U14" i="2" s="1"/>
  <c r="J14" i="2" s="1"/>
  <c r="M14" i="2" s="1"/>
  <c r="G14" i="2" s="1"/>
  <c r="E15" i="16" s="1"/>
  <c r="D13" i="9"/>
  <c r="G14" i="13"/>
  <c r="P13" i="9"/>
  <c r="K9" i="7"/>
  <c r="T14" i="2"/>
  <c r="V12" i="13"/>
  <c r="U10" i="13"/>
  <c r="X14" i="13"/>
  <c r="N11" i="9"/>
  <c r="T15" i="5"/>
  <c r="W14" i="13"/>
  <c r="N13" i="9"/>
  <c r="L13" i="7"/>
  <c r="S14" i="16" s="1"/>
  <c r="M9" i="3"/>
  <c r="G9" i="3" s="1"/>
  <c r="I10" i="13" s="1"/>
  <c r="G12" i="13"/>
  <c r="G12" i="16"/>
  <c r="N9" i="9"/>
  <c r="P10" i="16"/>
  <c r="M14" i="7"/>
  <c r="N30" i="7"/>
  <c r="L14" i="7"/>
  <c r="S15" i="16" s="1"/>
  <c r="L8" i="7"/>
  <c r="S9" i="16" s="1"/>
  <c r="O13" i="9"/>
  <c r="V14" i="13"/>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14" i="9" l="1"/>
  <c r="V15" i="13"/>
  <c r="L14" i="6"/>
  <c r="R15" i="16" s="1"/>
  <c r="L15" i="6"/>
  <c r="R16" i="16" s="1"/>
  <c r="U12" i="8"/>
  <c r="J12" i="8" s="1"/>
  <c r="M12" i="8" s="1"/>
  <c r="G12" i="8" s="1"/>
  <c r="K13" i="16" s="1"/>
  <c r="G12" i="6"/>
  <c r="G12" i="9" s="1"/>
  <c r="N30" i="6"/>
  <c r="G14" i="9"/>
  <c r="E13" i="9"/>
  <c r="I14" i="16"/>
  <c r="L12" i="6"/>
  <c r="R13" i="16" s="1"/>
  <c r="M14" i="8"/>
  <c r="G14" i="8" s="1"/>
  <c r="K15" i="16" s="1"/>
  <c r="L14" i="8"/>
  <c r="T15" i="16" s="1"/>
  <c r="L8" i="6"/>
  <c r="R9" i="16" s="1"/>
  <c r="L10" i="7"/>
  <c r="S11" i="16" s="1"/>
  <c r="L15" i="5"/>
  <c r="Q16" i="16" s="1"/>
  <c r="T9" i="13"/>
  <c r="L8"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P14" i="9"/>
  <c r="X15" i="13"/>
  <c r="P15" i="9"/>
  <c r="M13" i="13"/>
  <c r="L12" i="8"/>
  <c r="T13" i="16" s="1"/>
  <c r="P12" i="9"/>
  <c r="X13" i="13"/>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<sst xmlns="http://schemas.openxmlformats.org/spreadsheetml/2006/main" count="654" uniqueCount="141">
  <si>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</si>
  <si>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</si>
  <si>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</si>
  <si>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</si>
  <si>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</si>
  <si>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</si>
  <si>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</si>
  <si>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</si>
  <si>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</si>
  <si>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</si>
  <si>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</si>
  <si>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</si>
  <si>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</si>
  <si>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</si>
  <si>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</si>
  <si>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</si>
  <si>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</si>
  <si>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</si>
  <si>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</si>
  <si>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</si>
  <si>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</si>
  <si>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</si>
  <si>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</si>
  <si>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</si>
  <si>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</si>
  <si>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</si>
  <si>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</si>
  <si>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</si>
  <si>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</si>
  <si>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</si>
  <si>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</si>
  <si>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</si>
  <si>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</si>
  <si>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</si>
  <si>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</si>
  <si>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</si>
  <si>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</si>
  <si>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</si>
  <si>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</si>
  <si>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</si>
  <si>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</si>
  <si>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</si>
  <si>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</si>
  <si>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</si>
  <si>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</si>
  <si>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</si>
  <si>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</si>
  <si>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</si>
  <si>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</si>
  <si>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</si>
  <si>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</si>
  <si>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</si>
  <si>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</si>
  <si>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</si>
  <si>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</si>
  <si>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</si>
  <si>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</si>
  <si>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</si>
  <si>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</si>
  <si>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</si>
  <si>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</si>
  <si>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</si>
  <si>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</si>
  <si>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</si>
  <si>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</si>
  <si>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</si>
  <si>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</si>
  <si>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</si>
  <si>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</si>
  <si>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</si>
  <si>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</si>
  <si>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</si>
  <si>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</si>
  <si>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</si>
  <si>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</si>
  <si>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</si>
  <si>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</si>
  <si>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</si>
  <si>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</si>
  <si>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</si>
  <si>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</si>
  <si>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</si>
  <si>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</si>
  <si>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</si>
  <si>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</si>
  <si>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</si>
  <si>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</si>
  <si>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</si>
  <si>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</si>
  <si>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</si>
  <si>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</si>
  <si>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</si>
  <si>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</si>
  <si>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</si>
  <si>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</si>
  <si>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</si>
  <si>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</si>
  <si>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</si>
  <si>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</si>
  <si>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</si>
  <si>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</si>
  <si>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</si>
  <si>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</si>
  <si>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</si>
  <si>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</si>
  <si>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</si>
  <si>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</si>
  <si>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</si>
  <si>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</si>
  <si>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</si>
  <si>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</si>
  <si>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</si>
  <si>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</si>
  <si>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</si>
  <si>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</si>
  <si>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</si>
  <si>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</si>
  <si>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</si>
  <si>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</si>
  <si>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</si>
  <si>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</si>
  <si>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</si>
  <si>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</si>
  <si>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</si>
  <si>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</si>
  <si>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</si>
  <si>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</si>
  <si>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</si>
  <si>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</si>
  <si>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</si>
  <si>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</si>
  <si>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</si>
  <si>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</si>
  <si>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</si>
  <si>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</si>
  <si>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</si>
  <si>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</si>
  <si>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Dickinson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</si>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</sst>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Dickinson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c:v>
                </c:pt>
                <c:pt idx="3">
                  <c:v>Petitions, total N=11</c:v>
                </c:pt>
                <c:pt idx="4">
                  <c:v>Detentions, total N=0</c:v>
                </c:pt>
                <c:pt idx="5">
                  <c:v>Referrals, total N=16</c:v>
                </c:pt>
                <c:pt idx="6">
                  <c:v>Arrests, total N=4</c:v>
                </c:pt>
                <c:pt idx="7">
                  <c:v>Population, total N=1984</c:v>
                </c:pt>
              </c:strCache>
            </c:strRef>
          </c:cat>
          <c:val>
            <c:numRef>
              <c:f>'Stacked 100%'!$B$7:$B$14</c:f>
              <c:numCache>
                <c:formatCode>0%</c:formatCode>
                <c:ptCount val="8"/>
                <c:pt idx="0">
                  <c:v>0</c:v>
                </c:pt>
                <c:pt idx="1">
                  <c:v>0</c:v>
                </c:pt>
                <c:pt idx="2">
                  <c:v>0</c:v>
                </c:pt>
                <c:pt idx="3">
                  <c:v>0</c:v>
                </c:pt>
                <c:pt idx="4">
                  <c:v>0</c:v>
                </c:pt>
                <c:pt idx="5">
                  <c:v>0</c:v>
                </c:pt>
                <c:pt idx="6">
                  <c:v>0</c:v>
                </c:pt>
                <c:pt idx="7">
                  <c:v>1.0080645161290322E-2</c:v>
                </c:pt>
              </c:numCache>
            </c:numRef>
          </c:val>
          <c:extLst>
            <c:ext xmlns:c16="http://schemas.microsoft.com/office/drawing/2014/chart" uri="{C3380CC4-5D6E-409C-BE32-E72D297353CC}">
              <c16:uniqueId val="{00000000-07FF-41DE-8001-E0FEDD287D5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c:v>
                </c:pt>
                <c:pt idx="3">
                  <c:v>Petitions, total N=11</c:v>
                </c:pt>
                <c:pt idx="4">
                  <c:v>Detentions, total N=0</c:v>
                </c:pt>
                <c:pt idx="5">
                  <c:v>Referrals, total N=16</c:v>
                </c:pt>
                <c:pt idx="6">
                  <c:v>Arrests, total N=4</c:v>
                </c:pt>
                <c:pt idx="7">
                  <c:v>Population, total N=1984</c:v>
                </c:pt>
              </c:strCache>
            </c:strRef>
          </c:cat>
          <c:val>
            <c:numRef>
              <c:f>'Stacked 100%'!$C$7:$C$14</c:f>
              <c:numCache>
                <c:formatCode>0%</c:formatCode>
                <c:ptCount val="8"/>
                <c:pt idx="0">
                  <c:v>0</c:v>
                </c:pt>
                <c:pt idx="1">
                  <c:v>0</c:v>
                </c:pt>
                <c:pt idx="2">
                  <c:v>0</c:v>
                </c:pt>
                <c:pt idx="3">
                  <c:v>0</c:v>
                </c:pt>
                <c:pt idx="4">
                  <c:v>0</c:v>
                </c:pt>
                <c:pt idx="5">
                  <c:v>0</c:v>
                </c:pt>
                <c:pt idx="6">
                  <c:v>0</c:v>
                </c:pt>
                <c:pt idx="7">
                  <c:v>3.2258064516129031E-2</c:v>
                </c:pt>
              </c:numCache>
            </c:numRef>
          </c:val>
          <c:extLst>
            <c:ext xmlns:c16="http://schemas.microsoft.com/office/drawing/2014/chart" uri="{C3380CC4-5D6E-409C-BE32-E72D297353CC}">
              <c16:uniqueId val="{00000001-07FF-41DE-8001-E0FEDD287D5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N=6</c:v>
                </c:pt>
                <c:pt idx="3">
                  <c:v>Petitions, total N=11</c:v>
                </c:pt>
                <c:pt idx="4">
                  <c:v>Detentions, total N=0</c:v>
                </c:pt>
                <c:pt idx="5">
                  <c:v>Referrals, total N=16</c:v>
                </c:pt>
                <c:pt idx="6">
                  <c:v>Arrests, total N=4</c:v>
                </c:pt>
                <c:pt idx="7">
                  <c:v>Population, total N=1984</c:v>
                </c:pt>
              </c:strCache>
            </c:strRef>
          </c:cat>
          <c:val>
            <c:numRef>
              <c:f>'Stacked 100%'!$H$7:$H$14</c:f>
              <c:numCache>
                <c:formatCode>0%</c:formatCode>
                <c:ptCount val="8"/>
                <c:pt idx="0">
                  <c:v>0</c:v>
                </c:pt>
                <c:pt idx="1">
                  <c:v>0</c:v>
                </c:pt>
                <c:pt idx="2">
                  <c:v>0</c:v>
                </c:pt>
                <c:pt idx="3">
                  <c:v>0</c:v>
                </c:pt>
                <c:pt idx="4">
                  <c:v>0</c:v>
                </c:pt>
                <c:pt idx="5">
                  <c:v>0</c:v>
                </c:pt>
                <c:pt idx="6">
                  <c:v>0</c:v>
                </c:pt>
                <c:pt idx="7">
                  <c:v>9.399795135275755E-6</c:v>
                </c:pt>
              </c:numCache>
            </c:numRef>
          </c:val>
          <c:extLst>
            <c:ext xmlns:c16="http://schemas.microsoft.com/office/drawing/2014/chart" uri="{C3380CC4-5D6E-409C-BE32-E72D297353CC}">
              <c16:uniqueId val="{00000002-07FF-41DE-8001-E0FEDD287D5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c:v>
                </c:pt>
                <c:pt idx="3">
                  <c:v>Petitions, total N=11</c:v>
                </c:pt>
                <c:pt idx="4">
                  <c:v>Detentions, total N=0</c:v>
                </c:pt>
                <c:pt idx="5">
                  <c:v>Referrals, total N=16</c:v>
                </c:pt>
                <c:pt idx="6">
                  <c:v>Arrests, total N=4</c:v>
                </c:pt>
                <c:pt idx="7">
                  <c:v>Population, total N=1984</c:v>
                </c:pt>
              </c:strCache>
            </c:strRef>
          </c:cat>
          <c:val>
            <c:numRef>
              <c:f>'Stacked 100%'!$I$7:$I$14</c:f>
              <c:numCache>
                <c:formatCode>0%</c:formatCode>
                <c:ptCount val="8"/>
                <c:pt idx="0">
                  <c:v>0</c:v>
                </c:pt>
                <c:pt idx="1">
                  <c:v>1</c:v>
                </c:pt>
                <c:pt idx="2">
                  <c:v>1</c:v>
                </c:pt>
                <c:pt idx="3">
                  <c:v>1</c:v>
                </c:pt>
                <c:pt idx="4">
                  <c:v>0</c:v>
                </c:pt>
                <c:pt idx="5">
                  <c:v>1</c:v>
                </c:pt>
                <c:pt idx="6">
                  <c:v>1</c:v>
                </c:pt>
                <c:pt idx="7">
                  <c:v>0.93901209677419351</c:v>
                </c:pt>
              </c:numCache>
            </c:numRef>
          </c:val>
          <c:extLst>
            <c:ext xmlns:c16="http://schemas.microsoft.com/office/drawing/2014/chart" uri="{C3380CC4-5D6E-409C-BE32-E72D297353CC}">
              <c16:uniqueId val="{00000003-07FF-41DE-8001-E0FEDD287D5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N=6</c:v>
                </c:pt>
                <c:pt idx="3">
                  <c:v>Petitions, total N=11</c:v>
                </c:pt>
                <c:pt idx="4">
                  <c:v>Detentions, total N=0</c:v>
                </c:pt>
                <c:pt idx="5">
                  <c:v>Referrals, total N=16</c:v>
                </c:pt>
                <c:pt idx="6">
                  <c:v>Arrests, total N=4</c:v>
                </c:pt>
                <c:pt idx="7">
                  <c:v>Population, total N=1984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7FF-41DE-8001-E0FEDD287D5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1984</v>
      </c>
      <c r="C6" s="11">
        <v>1863</v>
      </c>
      <c r="D6" s="11">
        <v>20</v>
      </c>
      <c r="E6" s="11">
        <v>64</v>
      </c>
      <c r="F6" s="11">
        <v>18</v>
      </c>
      <c r="G6" s="11"/>
      <c r="H6" s="11">
        <v>19</v>
      </c>
      <c r="I6" s="11"/>
      <c r="J6" s="91">
        <f>SUM(D6:I6)</f>
        <v>121</v>
      </c>
      <c r="K6" s="92"/>
    </row>
    <row r="7" spans="1:11" ht="15.75" customHeight="1" thickBot="1" x14ac:dyDescent="0.25">
      <c r="A7" s="10" t="s">
        <v>8</v>
      </c>
      <c r="B7" s="11">
        <f t="shared" ref="B7:B15" si="0">SUM(C7:I7)+K7</f>
        <v>4</v>
      </c>
      <c r="C7" s="11">
        <v>4</v>
      </c>
      <c r="D7" s="11"/>
      <c r="E7" s="11"/>
      <c r="F7" s="11"/>
      <c r="G7" s="11"/>
      <c r="H7" s="11"/>
      <c r="I7" s="11"/>
      <c r="J7" s="91">
        <f t="shared" ref="J7:J15" si="1">SUM(D7:I7)</f>
        <v>0</v>
      </c>
      <c r="K7" s="92"/>
    </row>
    <row r="8" spans="1:11" ht="15.75" customHeight="1" thickBot="1" x14ac:dyDescent="0.25">
      <c r="A8" s="10" t="s">
        <v>9</v>
      </c>
      <c r="B8" s="11">
        <f t="shared" si="0"/>
        <v>16</v>
      </c>
      <c r="C8" s="11">
        <v>16</v>
      </c>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11</v>
      </c>
      <c r="C11" s="11">
        <v>11</v>
      </c>
      <c r="D11" s="11"/>
      <c r="E11" s="11"/>
      <c r="F11" s="11"/>
      <c r="G11" s="11"/>
      <c r="H11" s="11"/>
      <c r="I11" s="11"/>
      <c r="J11" s="91">
        <f t="shared" si="1"/>
        <v>0</v>
      </c>
      <c r="K11" s="92"/>
    </row>
    <row r="12" spans="1:11" ht="15.75" customHeight="1" thickBot="1" x14ac:dyDescent="0.25">
      <c r="A12" s="10" t="s">
        <v>13</v>
      </c>
      <c r="B12" s="11">
        <f t="shared" si="0"/>
        <v>6</v>
      </c>
      <c r="C12" s="11">
        <v>6</v>
      </c>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3</v>
      </c>
      <c r="C14" s="11">
        <v>3</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Dickinson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1859</v>
      </c>
      <c r="R7" s="42">
        <f t="shared" ref="R7:R15" si="5">SUM(N7:Q7)</f>
        <v>1863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400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-12</v>
      </c>
      <c r="R8" s="42">
        <f t="shared" si="5"/>
        <v>4.0500000000000007</v>
      </c>
      <c r="S8" s="30">
        <f t="shared" si="6"/>
        <v>2.592000000000001</v>
      </c>
      <c r="T8" s="30">
        <f t="shared" si="7"/>
        <v>-38.24</v>
      </c>
      <c r="U8" s="31">
        <f t="shared" si="8"/>
        <v>-6.7782426778242699E-2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68.75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5</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0</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0</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0</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0</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0</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Dickinson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Entry'!J6</f>
        <v>121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121</v>
      </c>
      <c r="P7" s="42">
        <f t="shared" ref="P7:P15" si="4">C7</f>
        <v>4</v>
      </c>
      <c r="Q7" s="42">
        <f>C6-C7</f>
        <v>1859</v>
      </c>
      <c r="R7" s="42">
        <f t="shared" ref="R7:R15" si="5">SUM(N7:Q7)</f>
        <v>1984</v>
      </c>
      <c r="S7" s="30">
        <f t="shared" ref="S7:S15" si="6">R7*((((N7*Q7)-(O7*P7))^2))</f>
        <v>464763904</v>
      </c>
      <c r="T7" s="30">
        <f t="shared" ref="T7:T15" si="7">(N7+O7)*(P7+Q7)*(N7+P7)*(O7+Q7)</f>
        <v>1785350160</v>
      </c>
      <c r="U7" s="31">
        <f t="shared" ref="U7:U15" si="8">IF((S7&gt;0),S7/T7,"- -")</f>
        <v>0.26032086837239815</v>
      </c>
    </row>
    <row r="8" spans="2:21" ht="18" customHeight="1" x14ac:dyDescent="0.25">
      <c r="B8" s="32" t="str">
        <f>'Data Entry'!A8</f>
        <v>3. Refer to Juvenile Court</v>
      </c>
      <c r="C8" s="33">
        <f>'Data Entry'!C8</f>
        <v>16</v>
      </c>
      <c r="D8" s="34">
        <f>IF((AND(C67&gt;0,C8&gt;0)),(C8/C67),0)</f>
        <v>400</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-12</v>
      </c>
      <c r="R8" s="42">
        <f t="shared" si="5"/>
        <v>4.0500000000000007</v>
      </c>
      <c r="S8" s="30">
        <f t="shared" si="6"/>
        <v>2.592000000000001</v>
      </c>
      <c r="T8" s="30">
        <f t="shared" si="7"/>
        <v>-38.24</v>
      </c>
      <c r="U8" s="31">
        <f t="shared" si="8"/>
        <v>-6.7782426778242699E-2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68.75</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5</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0.121</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0.121</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0.121</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0.121</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0.121</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Dickinson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1984</v>
      </c>
      <c r="D3" s="57">
        <f>'Data Entry'!C6</f>
        <v>1863</v>
      </c>
      <c r="E3" s="57">
        <f>'Data Entry'!D6</f>
        <v>20</v>
      </c>
      <c r="F3" s="57">
        <f>'Data Entry'!E6</f>
        <v>64</v>
      </c>
      <c r="G3" s="57">
        <f>'Data Entry'!F6</f>
        <v>18</v>
      </c>
      <c r="H3" s="57">
        <f>'Data Entry'!G6</f>
        <v>0</v>
      </c>
      <c r="I3" s="57">
        <f>'Data Entry'!H6</f>
        <v>19</v>
      </c>
      <c r="J3" s="57">
        <f>'Data Entry'!I6</f>
        <v>0</v>
      </c>
      <c r="K3" s="57">
        <f>'Data Entry'!J6</f>
        <v>121</v>
      </c>
    </row>
    <row r="4" spans="2:11" ht="15" customHeight="1" x14ac:dyDescent="0.25">
      <c r="B4" s="16" t="s">
        <v>8</v>
      </c>
      <c r="C4" s="1">
        <f>IF((C$3&gt;0),(1000*('Data Entry'!B7/'Data Entry'!B$6)), 0)</f>
        <v>2.0161290322580645</v>
      </c>
      <c r="D4" s="1">
        <f>IF((D$3&gt;0),(1000*('Data Entry'!C7/'Data Entry'!C$6)), 0)</f>
        <v>2.147074610842727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8.064516129032258</v>
      </c>
      <c r="D5" s="1">
        <f>IF((D$3&gt;0),(1000*('Data Entry'!C8/'Data Entry'!C$6)), 0)</f>
        <v>8.588298443370908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5.5443548387096779</v>
      </c>
      <c r="D8" s="1">
        <f>IF((D$3&gt;0),(1000*('Data Entry'!C11/'Data Entry'!C$6)), 0)</f>
        <v>5.9044551798174991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3.0241935483870965</v>
      </c>
      <c r="D9" s="1">
        <f>IF((D$3&gt;0),(1000*('Data Entry'!C12/'Data Entry'!C$6)), 0)</f>
        <v>3.2206119162640903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1.5120967741935483</v>
      </c>
      <c r="D11" s="1">
        <f>IF((D$3&gt;0),(1000*('Data Entry'!C14/'Data Entry'!C$6)), 0)</f>
        <v>1.6103059581320451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Dickinson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Dickinson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1863</v>
      </c>
      <c r="D7" s="105">
        <f>'Data Entry'!D6</f>
        <v>20</v>
      </c>
      <c r="E7" s="106"/>
      <c r="F7" s="107">
        <f>'Data Entry'!E6</f>
        <v>64</v>
      </c>
      <c r="G7" s="106"/>
      <c r="H7" s="107">
        <f>'Data Entry'!F6</f>
        <v>18</v>
      </c>
      <c r="I7" s="106"/>
      <c r="J7" s="107">
        <f>'Data Entry'!G6</f>
        <v>0</v>
      </c>
      <c r="K7" s="106"/>
      <c r="L7" s="107">
        <f>'Data Entry'!H6</f>
        <v>19</v>
      </c>
      <c r="M7" s="106"/>
      <c r="N7" s="107">
        <f>'Data Entry'!I6</f>
        <v>0</v>
      </c>
      <c r="O7" s="106"/>
      <c r="P7" s="107">
        <f>'Data Entry'!J6</f>
        <v>121</v>
      </c>
      <c r="Q7" s="108"/>
    </row>
    <row r="8" spans="2:26" s="1" customFormat="1" ht="15" customHeight="1" x14ac:dyDescent="0.3">
      <c r="B8" s="149" t="s">
        <v>8</v>
      </c>
      <c r="C8" s="104">
        <f>'Data Entry'!C7</f>
        <v>4</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16</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11</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6</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Dickinson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Dickinson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15.396694214876034</v>
      </c>
    </row>
    <row r="8" spans="1:12" ht="25.5" customHeight="1" x14ac:dyDescent="0.2">
      <c r="A8" s="158" t="str">
        <f>CONCATENATE("Confinement, total N=", 'Data Entry'!B14)</f>
        <v>Confinement, total N=3</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N=3</v>
      </c>
      <c r="L8">
        <f>I14/(SUM(B14:G14))</f>
        <v>15.396694214876034</v>
      </c>
    </row>
    <row r="9" spans="1:12" x14ac:dyDescent="0.2">
      <c r="A9" s="132" t="str">
        <f>CONCATENATE("Delinquent Findings, total N=", 'Data Entry'!B12)</f>
        <v>Delinquent Findings, total N=6</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N=6</v>
      </c>
      <c r="L9">
        <f>I14/(SUM(B14:G14))</f>
        <v>15.396694214876034</v>
      </c>
    </row>
    <row r="10" spans="1:12" x14ac:dyDescent="0.2">
      <c r="A10" s="132" t="str">
        <f>CONCATENATE("Petitions, total N=", 'Data Entry'!B11)</f>
        <v>Petitions, total N=11</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N=11</v>
      </c>
      <c r="L10">
        <f>I14/(SUM(B14:G14))</f>
        <v>15.396694214876034</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15.396694214876034</v>
      </c>
    </row>
    <row r="12" spans="1:12" x14ac:dyDescent="0.2">
      <c r="A12" s="132" t="str">
        <f>CONCATENATE("Referrals, total N=", 'Data Entry'!B8)</f>
        <v>Referrals, total N=16</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1</v>
      </c>
      <c r="K12" s="97" t="str">
        <f t="shared" si="0"/>
        <v>Referrals, total N=16</v>
      </c>
      <c r="L12">
        <f>I14/(SUM(B14:G14))</f>
        <v>15.396694214876034</v>
      </c>
    </row>
    <row r="13" spans="1:12" x14ac:dyDescent="0.2">
      <c r="A13" s="132" t="str">
        <f>CONCATENATE("Arrests, total N=", 'Data Entry'!B7)</f>
        <v>Arrests, total N=4</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N=4</v>
      </c>
      <c r="L13">
        <f>I14/(SUM(B14:G14))</f>
        <v>15.396694214876034</v>
      </c>
    </row>
    <row r="14" spans="1:12" x14ac:dyDescent="0.2">
      <c r="A14" s="132" t="str">
        <f>CONCATENATE("Population, total N=", 'Data Entry'!B6)</f>
        <v>Population, total N=1984</v>
      </c>
      <c r="B14" s="157">
        <f>'Data Entry'!D6/'Data Entry'!B6</f>
        <v>1.0080645161290322E-2</v>
      </c>
      <c r="C14" s="157">
        <f>'Data Entry'!E6/'Data Entry'!B6</f>
        <v>3.2258064516129031E-2</v>
      </c>
      <c r="D14" s="157">
        <f>'Data Entry'!F6/'Data Entry'!B6</f>
        <v>9.0725806451612909E-3</v>
      </c>
      <c r="E14" s="157">
        <f>'Data Entry'!G6/'Data Entry'!B6</f>
        <v>0</v>
      </c>
      <c r="F14" s="157">
        <f>'Data Entry'!H6/'Data Entry'!B6</f>
        <v>9.5766129032258066E-3</v>
      </c>
      <c r="G14" s="157">
        <f>'Data Entry'!I6/'Data Entry'!B6</f>
        <v>0</v>
      </c>
      <c r="H14" s="157">
        <f>SUM(D14:G14)/'Data Entry'!B6</f>
        <v>9.399795135275755E-6</v>
      </c>
      <c r="I14" s="157">
        <f>'Data Entry'!C6/'Data Entry'!B6</f>
        <v>0.93901209677419351</v>
      </c>
      <c r="K14" s="97" t="str">
        <f t="shared" si="0"/>
        <v>Population, total N=1984</v>
      </c>
      <c r="L14">
        <f>I14/(SUM(B14:G14))</f>
        <v>15.396694214876034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Dickinson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1863</v>
      </c>
      <c r="D7" s="105">
        <f>'Data Entry'!D6</f>
        <v>20</v>
      </c>
      <c r="E7" s="106"/>
      <c r="F7" s="107">
        <f>'Data Entry'!E6</f>
        <v>64</v>
      </c>
      <c r="G7" s="106"/>
      <c r="H7" s="107">
        <f>'Data Entry'!F6</f>
        <v>18</v>
      </c>
      <c r="I7" s="106"/>
      <c r="J7" s="107">
        <f>'Data Entry'!J6</f>
        <v>121</v>
      </c>
      <c r="K7" s="108"/>
    </row>
    <row r="8" spans="2:30" s="1" customFormat="1" ht="15" customHeight="1" x14ac:dyDescent="0.3">
      <c r="B8" s="125" t="s">
        <v>8</v>
      </c>
      <c r="C8" s="104">
        <f>'Data Entry'!C7</f>
        <v>4</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16</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11</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6</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Dickinson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Entry'!D6</f>
        <v>20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20</v>
      </c>
      <c r="P7" s="42">
        <f t="shared" ref="P7:P15" si="2">C7</f>
        <v>4</v>
      </c>
      <c r="Q7" s="42">
        <f>C6-C7</f>
        <v>1859</v>
      </c>
      <c r="R7" s="42">
        <f t="shared" ref="R7:R15" si="3">SUM(N7:Q7)</f>
        <v>1883</v>
      </c>
      <c r="S7" s="30">
        <f t="shared" ref="S7:S15" si="4">R7*((((N7*Q7)-(O7*P7))^2))</f>
        <v>12051200</v>
      </c>
      <c r="T7" s="30">
        <f t="shared" ref="T7:T15" si="5">(N7+O7)*(P7+Q7)*(N7+P7)*(O7+Q7)</f>
        <v>280046160</v>
      </c>
      <c r="U7" s="31">
        <f t="shared" ref="U7:U15" si="6">IF((S7&gt;0),S7/T7,"- -")</f>
        <v>4.3032905718114474E-2</v>
      </c>
    </row>
    <row r="8" spans="2:21" ht="18" customHeight="1" x14ac:dyDescent="0.25">
      <c r="B8" s="32" t="str">
        <f>'Data Entry'!A8</f>
        <v>3. Refer to Juvenile Court</v>
      </c>
      <c r="C8" s="33">
        <f>'Data Entry'!C8</f>
        <v>16</v>
      </c>
      <c r="D8" s="34">
        <f>IF((AND(C67&gt;0,C8&gt;0)),(C8/C67),0)</f>
        <v>400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16</v>
      </c>
      <c r="Q8" s="42">
        <f>(C$67*L67)-C8</f>
        <v>-12</v>
      </c>
      <c r="R8" s="42">
        <f t="shared" si="3"/>
        <v>4.0500000000000007</v>
      </c>
      <c r="S8" s="30">
        <f t="shared" si="4"/>
        <v>2.592000000000001</v>
      </c>
      <c r="T8" s="30">
        <f t="shared" si="5"/>
        <v>-38.24</v>
      </c>
      <c r="U8" s="31">
        <f t="shared" si="6"/>
        <v>-6.7782426778242699E-2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16</v>
      </c>
      <c r="R9" s="42">
        <f t="shared" si="3"/>
        <v>16</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16</v>
      </c>
      <c r="R10" s="42">
        <f t="shared" si="3"/>
        <v>16</v>
      </c>
      <c r="S10" s="30">
        <f t="shared" si="4"/>
        <v>0</v>
      </c>
      <c r="T10" s="30">
        <f t="shared" si="5"/>
        <v>0</v>
      </c>
      <c r="U10" s="31" t="str">
        <f t="shared" si="6"/>
        <v>- -</v>
      </c>
    </row>
    <row r="11" spans="2:21" ht="18" customHeight="1" x14ac:dyDescent="0.25">
      <c r="B11" s="32" t="str">
        <f>'Data Entry'!A11</f>
        <v>6. Cases Petitioned (Charge Filed)</v>
      </c>
      <c r="C11" s="33">
        <f>'Data Entry'!C11</f>
        <v>11</v>
      </c>
      <c r="D11" s="34">
        <f>IF(((AND(C68&gt;0,C11&gt;0))),(C11/(C68)),0)</f>
        <v>68.75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11</v>
      </c>
      <c r="Q11" s="42">
        <f>(C$68*L68)-C11</f>
        <v>5</v>
      </c>
      <c r="R11" s="42">
        <f t="shared" si="3"/>
        <v>16</v>
      </c>
      <c r="S11" s="30">
        <f t="shared" si="4"/>
        <v>0</v>
      </c>
      <c r="T11" s="30">
        <f t="shared" si="5"/>
        <v>0</v>
      </c>
      <c r="U11" s="31" t="str">
        <f t="shared" si="6"/>
        <v>- -</v>
      </c>
    </row>
    <row r="12" spans="2:21" ht="18" customHeight="1" x14ac:dyDescent="0.25">
      <c r="B12" s="32" t="str">
        <f>'Data Entry'!A12</f>
        <v>7. Cases Resulting in Delinquent Findings</v>
      </c>
      <c r="C12" s="33">
        <f>'Data Entry'!C12</f>
        <v>6</v>
      </c>
      <c r="D12" s="34">
        <f>IF(((AND(C69&gt;0,C12&gt;0))),(C12/(C69)),0)</f>
        <v>54.545454545454547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6</v>
      </c>
      <c r="Q12" s="42">
        <f>(C69*L69)-C12</f>
        <v>5</v>
      </c>
      <c r="R12" s="42">
        <f t="shared" si="3"/>
        <v>11</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6</v>
      </c>
      <c r="R13" s="42">
        <f t="shared" si="3"/>
        <v>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3</v>
      </c>
      <c r="R14" s="42">
        <f t="shared" si="3"/>
        <v>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11</v>
      </c>
      <c r="R15" s="42">
        <f t="shared" si="3"/>
        <v>11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0.02</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0.02</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0.02</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0.02</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0.02</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Dickinson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Entry'!F6</f>
        <v>18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18</v>
      </c>
      <c r="P7" s="42">
        <f t="shared" ref="P7:P15" si="4">C7</f>
        <v>4</v>
      </c>
      <c r="Q7" s="42">
        <f>C6-C7</f>
        <v>1859</v>
      </c>
      <c r="R7" s="42">
        <f t="shared" ref="R7:R15" si="5">SUM(N7:Q7)</f>
        <v>1881</v>
      </c>
      <c r="S7" s="30">
        <f t="shared" ref="S7:S15" si="6">R7*((((N7*Q7)-(O7*P7))^2))</f>
        <v>9751104</v>
      </c>
      <c r="T7" s="30">
        <f t="shared" ref="T7:T15" si="7">(N7+O7)*(P7+Q7)*(N7+P7)*(O7+Q7)</f>
        <v>251773272</v>
      </c>
      <c r="U7" s="31">
        <f t="shared" ref="U7:U15" si="8">IF((S7&gt;0),S7/T7,"- -")</f>
        <v>3.8729702809756551E-2</v>
      </c>
    </row>
    <row r="8" spans="2:21" ht="18" customHeight="1" x14ac:dyDescent="0.25">
      <c r="B8" s="32" t="str">
        <f>'Data Entry'!A8</f>
        <v>3. Refer to Juvenile Court</v>
      </c>
      <c r="C8" s="33">
        <f>'Data Entry'!C8</f>
        <v>16</v>
      </c>
      <c r="D8" s="34">
        <f>IF((AND(C67&gt;0,C8&gt;0)),(C8/C67),0)</f>
        <v>400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-12</v>
      </c>
      <c r="R8" s="42">
        <f t="shared" si="5"/>
        <v>4.0500000000000007</v>
      </c>
      <c r="S8" s="30">
        <f t="shared" si="6"/>
        <v>2.592000000000001</v>
      </c>
      <c r="T8" s="30">
        <f t="shared" si="7"/>
        <v>-38.24</v>
      </c>
      <c r="U8" s="31">
        <f t="shared" si="8"/>
        <v>-6.7782426778242699E-2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68.75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5</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1.7999999999999999E-2</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1.7999999999999999E-2</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1.7999999999999999E-2</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1.7999999999999999E-2</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1.7999999999999999E-2</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Dickinson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Entry'!E6</f>
        <v>64</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64</v>
      </c>
      <c r="P7" s="42">
        <f t="shared" ref="P7:P15" si="4">C7</f>
        <v>4</v>
      </c>
      <c r="Q7" s="42">
        <f>C6-C7</f>
        <v>1859</v>
      </c>
      <c r="R7" s="42">
        <f t="shared" ref="R7:R15" si="5">SUM(N7:Q7)</f>
        <v>1927</v>
      </c>
      <c r="S7" s="30">
        <f t="shared" ref="S7:S15" si="6">R7*((((N7*Q7)-(O7*P7))^2))</f>
        <v>126287872</v>
      </c>
      <c r="T7" s="30">
        <f t="shared" ref="T7:T15" si="7">(N7+O7)*(P7+Q7)*(N7+P7)*(O7+Q7)</f>
        <v>917132544</v>
      </c>
      <c r="U7" s="31">
        <f t="shared" ref="U7:U15" si="8">IF((S7&gt;0),S7/T7,"- -")</f>
        <v>0.1376986050993301</v>
      </c>
    </row>
    <row r="8" spans="2:21" ht="18" customHeight="1" x14ac:dyDescent="0.25">
      <c r="B8" s="32" t="str">
        <f>'Data Entry'!A8</f>
        <v>3. Refer to Juvenile Court</v>
      </c>
      <c r="C8" s="33">
        <f>'Data Entry'!C8</f>
        <v>16</v>
      </c>
      <c r="D8" s="34">
        <f>IF((AND(C67&gt;0,C8&gt;0)),(C8/C67),0)</f>
        <v>400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-12</v>
      </c>
      <c r="R8" s="42">
        <f t="shared" si="5"/>
        <v>4.0500000000000007</v>
      </c>
      <c r="S8" s="30">
        <f t="shared" si="6"/>
        <v>2.592000000000001</v>
      </c>
      <c r="T8" s="30">
        <f t="shared" si="7"/>
        <v>-38.24</v>
      </c>
      <c r="U8" s="31">
        <f t="shared" si="8"/>
        <v>-6.7782426778242699E-2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68.75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5</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6.4000000000000001E-2</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6.4000000000000001E-2</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6.4000000000000001E-2</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6.4000000000000001E-2</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6.4000000000000001E-2</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Dickinson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1859</v>
      </c>
      <c r="R7" s="42">
        <f t="shared" ref="R7:R15" si="5">SUM(N7:Q7)</f>
        <v>1863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400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-12</v>
      </c>
      <c r="R8" s="42">
        <f t="shared" si="5"/>
        <v>4.0500000000000007</v>
      </c>
      <c r="S8" s="30">
        <f t="shared" si="6"/>
        <v>2.592000000000001</v>
      </c>
      <c r="T8" s="30">
        <f t="shared" si="7"/>
        <v>-38.24</v>
      </c>
      <c r="U8" s="31">
        <f t="shared" si="8"/>
        <v>-6.7782426778242699E-2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68.75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5</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0</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0</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0</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0</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0</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Dickinson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1863</v>
      </c>
      <c r="D6" s="34"/>
      <c r="E6" s="33">
        <f>'Data Entry'!H6</f>
        <v>19</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2.147074610842727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19</v>
      </c>
      <c r="P7" s="42">
        <f t="shared" ref="P7:P15" si="4">C7</f>
        <v>4</v>
      </c>
      <c r="Q7" s="42">
        <f>C6-C7</f>
        <v>1859</v>
      </c>
      <c r="R7" s="42">
        <f t="shared" ref="R7:R15" si="5">SUM(N7:Q7)</f>
        <v>1882</v>
      </c>
      <c r="S7" s="30">
        <f t="shared" ref="S7:S15" si="6">R7*((((N7*Q7)-(O7*P7))^2))</f>
        <v>10870432</v>
      </c>
      <c r="T7" s="30">
        <f t="shared" ref="T7:T15" si="7">(N7+O7)*(P7+Q7)*(N7+P7)*(O7+Q7)</f>
        <v>265902264</v>
      </c>
      <c r="U7" s="31">
        <f t="shared" ref="U7:U15" si="8">IF((S7&gt;0),S7/T7,"- -")</f>
        <v>4.0881306674395219E-2</v>
      </c>
    </row>
    <row r="8" spans="2:21" ht="18" customHeight="1" x14ac:dyDescent="0.25">
      <c r="B8" s="32" t="str">
        <f>'Data Entry'!A8</f>
        <v>3. Refer to Juvenile Court</v>
      </c>
      <c r="C8" s="33">
        <f>'Data Entry'!C8</f>
        <v>16</v>
      </c>
      <c r="D8" s="34">
        <f>IF((AND(C67&gt;0,C8&gt;0)),(C8/C67),0)</f>
        <v>400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-12</v>
      </c>
      <c r="R8" s="42">
        <f t="shared" si="5"/>
        <v>4.0500000000000007</v>
      </c>
      <c r="S8" s="30">
        <f t="shared" si="6"/>
        <v>2.592000000000001</v>
      </c>
      <c r="T8" s="30">
        <f t="shared" si="7"/>
        <v>-38.24</v>
      </c>
      <c r="U8" s="31">
        <f t="shared" si="8"/>
        <v>-6.7782426778242699E-2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11</v>
      </c>
      <c r="D11" s="34">
        <f>IF(((AND(C68&gt;0,C11&gt;0))),(C11/(C68)),0)</f>
        <v>68.75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5</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6</v>
      </c>
      <c r="D12" s="34">
        <f>IF(((AND(C69&gt;0,C12&gt;0))),(C12/(C69)),0)</f>
        <v>54.545454545454547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50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1.863</v>
      </c>
      <c r="D42" s="56">
        <f>E6/1000</f>
        <v>1.9E-2</v>
      </c>
      <c r="E42" s="56">
        <f>MAX(C42:D42)</f>
        <v>1.863</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0.11</v>
      </c>
      <c r="D45" s="49">
        <f>E11/100</f>
        <v>0</v>
      </c>
      <c r="E45" s="56">
        <f>MAX(C45:D45,0)</f>
        <v>0.11</v>
      </c>
      <c r="G45" s="1" t="str">
        <f>B45</f>
        <v>per 100 youth petitioned</v>
      </c>
      <c r="L45" s="57">
        <v>100</v>
      </c>
      <c r="M45" s="57"/>
      <c r="R45" s="49"/>
    </row>
    <row r="46" spans="2:18" ht="15" hidden="1" customHeight="1" x14ac:dyDescent="0.25">
      <c r="B46" s="49" t="s">
        <v>90</v>
      </c>
      <c r="C46" s="49">
        <f>C12/100</f>
        <v>0.06</v>
      </c>
      <c r="D46" s="49">
        <f>E12/100</f>
        <v>0</v>
      </c>
      <c r="E46" s="56">
        <f>MAX(C46:D46)</f>
        <v>0.06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1.863</v>
      </c>
      <c r="D48" s="56">
        <f>D42</f>
        <v>1.9E-2</v>
      </c>
      <c r="E48" s="56">
        <f>MAX(C48:D48)</f>
        <v>1.863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x14ac:dyDescent="0.25">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1.863</v>
      </c>
      <c r="D54" s="56">
        <f>D48</f>
        <v>1.9E-2</v>
      </c>
      <c r="E54" s="56">
        <f>MAX(C54:D54)</f>
        <v>1.863</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x14ac:dyDescent="0.25">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1.863</v>
      </c>
      <c r="D60" s="56">
        <f>D54</f>
        <v>1.9E-2</v>
      </c>
      <c r="E60" s="56">
        <f>MAX(C60:D60)</f>
        <v>1.863</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x14ac:dyDescent="0.25">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1.863</v>
      </c>
      <c r="D66" s="56">
        <f>D60</f>
        <v>1.9E-2</v>
      </c>
      <c r="E66" s="56">
        <f>MAX(C66:D66)</f>
        <v>1.863</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U47JMPN4QEAR-1806752177-30167</_dlc_DocId>
    <_dlc_DocIdUrl xmlns="ac3811b5-0f3e-49e2-ba69-f2ffa0c782af">
      <Url>https://michiganphi.sharepoint.com/sites/CMDMC/_layouts/15/DocIdRedir.aspx?ID=U47JMPN4QEAR-1806752177-30167</Url>
      <Description>U47JMPN4QEAR-1806752177-30167</Description>
    </_dlc_DocIdUrl>
  </documentManagement>
</p:properties>
</file>

<file path=customXml/itemProps1.xml><?xml version="1.0" encoding="utf-8"?>
<ds:datastoreItem xmlns:ds="http://schemas.openxmlformats.org/officeDocument/2006/customXml" ds:itemID="{E0674542-5840-4A75-8A38-7EEC02326102}"/>
</file>

<file path=customXml/itemProps2.xml><?xml version="1.0" encoding="utf-8"?>
<ds:datastoreItem xmlns:ds="http://schemas.openxmlformats.org/officeDocument/2006/customXml" ds:itemID="{28D5D68C-DF75-4950-9CAA-487C5658452D}"/>
</file>

<file path=customXml/itemProps3.xml><?xml version="1.0" encoding="utf-8"?>
<ds:datastoreItem xmlns:ds="http://schemas.openxmlformats.org/officeDocument/2006/customXml" ds:itemID="{C56A8237-3647-4956-9CD8-41F7BE4123AB}"/>
</file>

<file path=customXml/itemProps4.xml><?xml version="1.0" encoding="utf-8"?>
<ds:datastoreItem xmlns:ds="http://schemas.openxmlformats.org/officeDocument/2006/customXml" ds:itemID="{21FE8ED4-71B1-4238-845E-0DAC485536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cdd8f3bd-f63e-4bc3-90ea-4e3386c61da8</vt:lpwstr>
  </property>
</Properties>
</file>