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1ACF67A2-2394-4AB0-ACB7-17F82150A4DE}" xr6:coauthVersionLast="47" xr6:coauthVersionMax="47" xr10:uidLastSave="{2BE01D89-212E-4FC5-AE94-64AB77E01B5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4"/>
  <c r="M66" i="4"/>
  <c r="F27" i="2"/>
  <c r="M66" i="2"/>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E43" i="7" s="1"/>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B50" i="6" s="1"/>
  <c r="E46" i="7"/>
  <c r="D52" i="7" s="1"/>
  <c r="E46" i="3"/>
  <c r="D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L52" i="7"/>
  <c r="B52" i="7"/>
  <c r="C45" i="6"/>
  <c r="E45" i="6" s="1"/>
  <c r="P11" i="6"/>
  <c r="P11" i="8"/>
  <c r="C45" i="8"/>
  <c r="L52" i="5"/>
  <c r="B52" i="5"/>
  <c r="D52" i="5"/>
  <c r="C48" i="6"/>
  <c r="E42" i="6"/>
  <c r="R7" i="6"/>
  <c r="S7" i="6" s="1"/>
  <c r="D21" i="10"/>
  <c r="C4" i="10"/>
  <c r="C7" i="10"/>
  <c r="C5" i="10"/>
  <c r="C10" i="10"/>
  <c r="C11" i="10"/>
  <c r="C6" i="10"/>
  <c r="C9" i="10"/>
  <c r="C12" i="10"/>
  <c r="C8" i="10"/>
  <c r="C50" i="6"/>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L64" i="5"/>
  <c r="L64" i="3"/>
  <c r="L56" i="8"/>
  <c r="B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B64" i="8"/>
  <c r="Q8" i="13"/>
  <c r="E64" i="5"/>
  <c r="C63" i="3"/>
  <c r="E57" i="8"/>
  <c r="B63" i="8" s="1"/>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E64" i="8" l="1"/>
  <c r="B70" i="8" s="1"/>
  <c r="M70" i="8" s="1"/>
  <c r="B70" i="3"/>
  <c r="M70" i="3" s="1"/>
  <c r="L70" i="5"/>
  <c r="B70" i="5"/>
  <c r="F33" i="5" s="1"/>
  <c r="D70" i="5"/>
  <c r="F14" i="5" s="1"/>
  <c r="D70" i="6"/>
  <c r="F14" i="6" s="1"/>
  <c r="C70" i="5"/>
  <c r="C63" i="8"/>
  <c r="C70" i="6"/>
  <c r="C70" i="3"/>
  <c r="D14" i="3" s="1"/>
  <c r="L63" i="8"/>
  <c r="E63" i="3"/>
  <c r="C69" i="3" s="1"/>
  <c r="D12" i="3" s="1"/>
  <c r="L70" i="3"/>
  <c r="L70" i="6"/>
  <c r="D63" i="8"/>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C70" i="8"/>
  <c r="D70" i="8"/>
  <c r="F13" i="8" s="1"/>
  <c r="Q13" i="5"/>
  <c r="L70" i="8"/>
  <c r="O13" i="8" s="1"/>
  <c r="M70" i="5"/>
  <c r="F13" i="6"/>
  <c r="Q14" i="5"/>
  <c r="O14" i="5"/>
  <c r="K14" i="5" s="1"/>
  <c r="F13" i="5"/>
  <c r="O13" i="5"/>
  <c r="O14" i="6"/>
  <c r="F34" i="5"/>
  <c r="F12" i="7"/>
  <c r="O13" i="6"/>
  <c r="B69" i="6"/>
  <c r="M69" i="6" s="1"/>
  <c r="D15" i="3"/>
  <c r="L69" i="3"/>
  <c r="Q12" i="3" s="1"/>
  <c r="B69" i="3"/>
  <c r="M69" i="3" s="1"/>
  <c r="O13" i="3"/>
  <c r="D14" i="5"/>
  <c r="E70" i="5"/>
  <c r="O15" i="7"/>
  <c r="E63" i="8"/>
  <c r="D69" i="8" s="1"/>
  <c r="F15" i="8" s="1"/>
  <c r="D13" i="3"/>
  <c r="F14" i="3"/>
  <c r="D13" i="5"/>
  <c r="Q13" i="3"/>
  <c r="Q14" i="6"/>
  <c r="E69" i="7"/>
  <c r="Q12" i="7"/>
  <c r="D13" i="6"/>
  <c r="Q14" i="3"/>
  <c r="E70" i="6"/>
  <c r="D15" i="7"/>
  <c r="D14" i="6"/>
  <c r="Q13" i="6"/>
  <c r="D69" i="3"/>
  <c r="E69" i="3" s="1"/>
  <c r="O12" i="7"/>
  <c r="Q15" i="7"/>
  <c r="C69" i="6"/>
  <c r="D12" i="6" s="1"/>
  <c r="E70" i="3"/>
  <c r="O14" i="3"/>
  <c r="D69" i="6"/>
  <c r="F12" i="6" s="1"/>
  <c r="T10" i="3"/>
  <c r="K10" i="4"/>
  <c r="F8" i="7"/>
  <c r="T9" i="4"/>
  <c r="T11" i="4"/>
  <c r="U11" i="4" s="1"/>
  <c r="J11" i="4" s="1"/>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R10" i="3"/>
  <c r="S10" i="3" s="1"/>
  <c r="U10" i="3" s="1"/>
  <c r="J10" i="3" s="1"/>
  <c r="M10" i="3" s="1"/>
  <c r="G10" i="3" s="1"/>
  <c r="I11" i="16" s="1"/>
  <c r="F8" i="2"/>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T14" i="5"/>
  <c r="D70" i="2"/>
  <c r="O14" i="2" s="1"/>
  <c r="E70"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4" i="8" l="1"/>
  <c r="Q13" i="8"/>
  <c r="D14" i="8"/>
  <c r="Q14" i="8"/>
  <c r="D13" i="8"/>
  <c r="R13" i="5"/>
  <c r="S13" i="5" s="1"/>
  <c r="U13" i="5" s="1"/>
  <c r="J13" i="5" s="1"/>
  <c r="M13" i="5" s="1"/>
  <c r="Q15" i="3"/>
  <c r="R14" i="5"/>
  <c r="S14" i="5" s="1"/>
  <c r="U14" i="5" s="1"/>
  <c r="J14" i="5" s="1"/>
  <c r="M14" i="5" s="1"/>
  <c r="K13" i="5"/>
  <c r="T13" i="5"/>
  <c r="T15" i="7"/>
  <c r="T14" i="6"/>
  <c r="K15" i="7"/>
  <c r="F35" i="6"/>
  <c r="Q15" i="6"/>
  <c r="T13" i="6"/>
  <c r="B69" i="8"/>
  <c r="M69" i="8" s="1"/>
  <c r="U9" i="4"/>
  <c r="J9" i="4" s="1"/>
  <c r="M9" i="4" s="1"/>
  <c r="G9" i="4" s="1"/>
  <c r="G10" i="16" s="1"/>
  <c r="F32" i="6"/>
  <c r="F35" i="3"/>
  <c r="O12" i="6"/>
  <c r="O12" i="3"/>
  <c r="R12" i="3" s="1"/>
  <c r="S12" i="3" s="1"/>
  <c r="U12" i="3" s="1"/>
  <c r="J12" i="3" s="1"/>
  <c r="U13" i="4"/>
  <c r="J13" i="4" s="1"/>
  <c r="M13" i="4" s="1"/>
  <c r="G13" i="4" s="1"/>
  <c r="G14" i="16" s="1"/>
  <c r="K14" i="6"/>
  <c r="R13" i="6"/>
  <c r="S13" i="6" s="1"/>
  <c r="U13" i="6" s="1"/>
  <c r="J13" i="6" s="1"/>
  <c r="M13" i="6" s="1"/>
  <c r="G13" i="6" s="1"/>
  <c r="M14" i="13" s="1"/>
  <c r="F32" i="3"/>
  <c r="R13" i="3"/>
  <c r="S13" i="3" s="1"/>
  <c r="U13" i="3" s="1"/>
  <c r="J13" i="3" s="1"/>
  <c r="M13" i="3" s="1"/>
  <c r="G13" i="3" s="1"/>
  <c r="T12" i="7"/>
  <c r="F12" i="8"/>
  <c r="C69" i="8"/>
  <c r="E69" i="8" s="1"/>
  <c r="L69" i="8"/>
  <c r="O15" i="8" s="1"/>
  <c r="O15" i="3"/>
  <c r="Q12" i="6"/>
  <c r="R13" i="8"/>
  <c r="S13" i="8" s="1"/>
  <c r="R15" i="7"/>
  <c r="S15" i="7" s="1"/>
  <c r="U15" i="7" s="1"/>
  <c r="J15" i="7" s="1"/>
  <c r="R14" i="6"/>
  <c r="S14" i="6" s="1"/>
  <c r="U14" i="6" s="1"/>
  <c r="J14" i="6" s="1"/>
  <c r="M14" i="6" s="1"/>
  <c r="G14" i="6" s="1"/>
  <c r="M15" i="13" s="1"/>
  <c r="T14" i="3"/>
  <c r="K13" i="6"/>
  <c r="T13" i="3"/>
  <c r="K13" i="3"/>
  <c r="R12" i="7"/>
  <c r="S12" i="7" s="1"/>
  <c r="U12" i="7" s="1"/>
  <c r="J12" i="7" s="1"/>
  <c r="K12" i="7"/>
  <c r="T13" i="8"/>
  <c r="R14" i="3"/>
  <c r="S14" i="3" s="1"/>
  <c r="U14" i="3" s="1"/>
  <c r="J14" i="3" s="1"/>
  <c r="M14" i="3" s="1"/>
  <c r="G14" i="3" s="1"/>
  <c r="I15" i="16" s="1"/>
  <c r="R14" i="8"/>
  <c r="S14" i="8" s="1"/>
  <c r="F15" i="3"/>
  <c r="F12" i="3"/>
  <c r="E69" i="6"/>
  <c r="D15" i="6"/>
  <c r="K14" i="3"/>
  <c r="O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U13" i="7" s="1"/>
  <c r="J13" i="7" s="1"/>
  <c r="M13" i="7" s="1"/>
  <c r="Q13" i="2"/>
  <c r="U9" i="3"/>
  <c r="J9" i="3" s="1"/>
  <c r="L9" i="3" s="1"/>
  <c r="L10" i="4"/>
  <c r="O11" i="16" s="1"/>
  <c r="K13" i="7"/>
  <c r="T8" i="2"/>
  <c r="U8" i="2" s="1"/>
  <c r="J8" i="2" s="1"/>
  <c r="M11" i="4"/>
  <c r="G11" i="4" s="1"/>
  <c r="T14" i="7"/>
  <c r="U14" i="7" s="1"/>
  <c r="J14" i="7" s="1"/>
  <c r="K14" i="7"/>
  <c r="D10" i="9"/>
  <c r="G11" i="13"/>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5" l="1"/>
  <c r="Q14" i="16" s="1"/>
  <c r="K15" i="3"/>
  <c r="L14" i="5"/>
  <c r="Q15" i="16" s="1"/>
  <c r="N30" i="5"/>
  <c r="K15" i="6"/>
  <c r="L15" i="7"/>
  <c r="S16" i="16" s="1"/>
  <c r="K12" i="6"/>
  <c r="L13" i="4"/>
  <c r="O14" i="16" s="1"/>
  <c r="L9" i="4"/>
  <c r="O10" i="16" s="1"/>
  <c r="F35" i="8"/>
  <c r="T12" i="3"/>
  <c r="K12" i="3"/>
  <c r="L12" i="3" s="1"/>
  <c r="P13" i="16" s="1"/>
  <c r="F32" i="8"/>
  <c r="T12" i="6"/>
  <c r="D9" i="9"/>
  <c r="R12" i="6"/>
  <c r="S12" i="6" s="1"/>
  <c r="U12" i="6" s="1"/>
  <c r="J12" i="6" s="1"/>
  <c r="M12" i="6" s="1"/>
  <c r="G12" i="6" s="1"/>
  <c r="R15" i="3"/>
  <c r="S15" i="3" s="1"/>
  <c r="U15" i="3" s="1"/>
  <c r="J15" i="3" s="1"/>
  <c r="M15" i="3" s="1"/>
  <c r="G15" i="3" s="1"/>
  <c r="I16" i="16" s="1"/>
  <c r="G10" i="13"/>
  <c r="D12" i="8"/>
  <c r="U13" i="8"/>
  <c r="J13" i="8" s="1"/>
  <c r="M13" i="8" s="1"/>
  <c r="G13" i="8" s="1"/>
  <c r="K14" i="16" s="1"/>
  <c r="G13" i="9"/>
  <c r="L13" i="3"/>
  <c r="P14" i="16" s="1"/>
  <c r="L13" i="6"/>
  <c r="R14" i="16" s="1"/>
  <c r="D15" i="8"/>
  <c r="Q12" i="8"/>
  <c r="Q15" i="8"/>
  <c r="R15" i="8" s="1"/>
  <c r="S15" i="8" s="1"/>
  <c r="U15" i="8" s="1"/>
  <c r="J15" i="8" s="1"/>
  <c r="O12" i="8"/>
  <c r="T15" i="3"/>
  <c r="M15" i="7"/>
  <c r="I15" i="13"/>
  <c r="U14" i="8"/>
  <c r="J14" i="8" s="1"/>
  <c r="N30" i="8" s="1"/>
  <c r="R15" i="6"/>
  <c r="S15" i="6" s="1"/>
  <c r="U15" i="6" s="1"/>
  <c r="J15" i="6" s="1"/>
  <c r="M15" i="6" s="1"/>
  <c r="G15" i="6" s="1"/>
  <c r="L12" i="7"/>
  <c r="S13" i="16" s="1"/>
  <c r="T15" i="6"/>
  <c r="E14" i="9"/>
  <c r="L14" i="3"/>
  <c r="P15" i="16" s="1"/>
  <c r="M12" i="7"/>
  <c r="N30" i="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N11" i="9"/>
  <c r="T15" i="5"/>
  <c r="W14" i="13"/>
  <c r="L13" i="7"/>
  <c r="S14" i="16" s="1"/>
  <c r="M9" i="3"/>
  <c r="G9" i="3" s="1"/>
  <c r="I10" i="13" s="1"/>
  <c r="I14" i="13"/>
  <c r="I14" i="16"/>
  <c r="G12" i="13"/>
  <c r="G12" i="16"/>
  <c r="N9" i="9"/>
  <c r="P10" i="16"/>
  <c r="M14" i="7"/>
  <c r="N30" i="7"/>
  <c r="L14" i="7"/>
  <c r="S15" i="16" s="1"/>
  <c r="L8" i="7"/>
  <c r="S9" i="16" s="1"/>
  <c r="O13" i="9"/>
  <c r="M10" i="9"/>
  <c r="V10"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Q15" i="9" l="1"/>
  <c r="Y16" i="13"/>
  <c r="W15" i="13"/>
  <c r="U10" i="7"/>
  <c r="J10" i="7" s="1"/>
  <c r="M10" i="7" s="1"/>
  <c r="O14" i="9"/>
  <c r="U14" i="13"/>
  <c r="M13" i="9"/>
  <c r="M9" i="9"/>
  <c r="L12" i="6"/>
  <c r="R13" i="16" s="1"/>
  <c r="U10" i="13"/>
  <c r="L15" i="3"/>
  <c r="P16" i="16" s="1"/>
  <c r="E15" i="9"/>
  <c r="V14" i="13"/>
  <c r="K15" i="8"/>
  <c r="L15" i="8" s="1"/>
  <c r="T16" i="16" s="1"/>
  <c r="I16" i="13"/>
  <c r="L13" i="8"/>
  <c r="T14" i="16" s="1"/>
  <c r="N13" i="9"/>
  <c r="T12" i="8"/>
  <c r="P13" i="9"/>
  <c r="X14" i="13"/>
  <c r="I13" i="9"/>
  <c r="T15" i="8"/>
  <c r="Q14" i="13"/>
  <c r="R12" i="8"/>
  <c r="S12" i="8" s="1"/>
  <c r="K12" i="8"/>
  <c r="V15" i="13"/>
  <c r="N14" i="9"/>
  <c r="U11" i="7"/>
  <c r="J11" i="7" s="1"/>
  <c r="L11" i="7" s="1"/>
  <c r="S12" i="16" s="1"/>
  <c r="Y13" i="13"/>
  <c r="M14" i="8"/>
  <c r="G14" i="8" s="1"/>
  <c r="K15" i="16" s="1"/>
  <c r="L14" i="8"/>
  <c r="T15" i="16" s="1"/>
  <c r="L15" i="6"/>
  <c r="R16" i="16" s="1"/>
  <c r="Q12" i="9"/>
  <c r="L8" i="6"/>
  <c r="R9" i="16" s="1"/>
  <c r="L15" i="5"/>
  <c r="Q16" i="16" s="1"/>
  <c r="T9" i="13"/>
  <c r="L8" i="9"/>
  <c r="X15" i="13"/>
  <c r="P14" i="9"/>
  <c r="G8" i="9"/>
  <c r="Q14" i="9"/>
  <c r="Y15" i="13"/>
  <c r="Y14" i="13"/>
  <c r="E9" i="13"/>
  <c r="Q13" i="9"/>
  <c r="L10" i="2"/>
  <c r="N11" i="16" s="1"/>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0" i="7" l="1"/>
  <c r="S11" i="16" s="1"/>
  <c r="P12" i="9"/>
  <c r="U12" i="8"/>
  <c r="J12" i="8" s="1"/>
  <c r="M12" i="8" s="1"/>
  <c r="G12" i="8" s="1"/>
  <c r="K13" i="16" s="1"/>
  <c r="X13" i="13"/>
  <c r="N15" i="9"/>
  <c r="V16" i="13"/>
  <c r="Z14" i="13"/>
  <c r="R13" i="9"/>
  <c r="M11" i="7"/>
  <c r="X16" i="13"/>
  <c r="Z15" i="13"/>
  <c r="P15" i="9"/>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2" i="8" l="1"/>
  <c r="T13" i="16" s="1"/>
  <c r="I12" i="9"/>
  <c r="Q13" i="13"/>
  <c r="R12" i="9"/>
  <c r="R9" i="9"/>
  <c r="Z10" i="13"/>
  <c r="R10" i="9"/>
  <c r="Z11" i="13"/>
  <c r="I11" i="9"/>
  <c r="Q12" i="13"/>
  <c r="I10" i="9"/>
  <c r="Q11" i="13"/>
  <c r="R11" i="9"/>
  <c r="Z12" i="13"/>
  <c r="Z13" i="13" l="1"/>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<sst xmlns="http://schemas.openxmlformats.org/spreadsheetml/2006/main" count="654" uniqueCount="141">
  <si>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</si>
  <si>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</si>
  <si>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</si>
  <si>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</si>
  <si>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</si>
  <si>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</si>
  <si>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</si>
  <si>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</si>
  <si>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</si>
  <si>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</si>
  <si>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</si>
  <si>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</si>
  <si>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</si>
  <si>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</si>
  <si>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</si>
  <si>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</si>
  <si>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</si>
  <si>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</si>
  <si>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</si>
  <si>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</si>
  <si>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</si>
  <si>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</si>
  <si>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</si>
  <si>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</si>
  <si>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</si>
  <si>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</si>
  <si>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</si>
  <si>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</si>
  <si>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</si>
  <si>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</si>
  <si>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</si>
  <si>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</si>
  <si>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</si>
  <si>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</si>
  <si>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</si>
  <si>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</si>
  <si>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</si>
  <si>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</si>
  <si>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</si>
  <si>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</si>
  <si>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</si>
  <si>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</si>
  <si>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</si>
  <si>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</si>
  <si>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</si>
  <si>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</si>
  <si>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</si>
  <si>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</si>
  <si>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</si>
  <si>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</si>
  <si>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</si>
  <si>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</si>
  <si>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</si>
  <si>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</si>
  <si>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</si>
  <si>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</si>
  <si>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</si>
  <si>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</si>
  <si>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</si>
  <si>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</si>
  <si>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</si>
  <si>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</si>
  <si>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</si>
  <si>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</si>
  <si>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</si>
  <si>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</si>
  <si>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</si>
  <si>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</si>
  <si>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</si>
  <si>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</si>
  <si>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</si>
  <si>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</si>
  <si>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</si>
  <si>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</si>
  <si>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</si>
  <si>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</si>
  <si>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</si>
  <si>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</si>
  <si>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</si>
  <si>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</si>
  <si>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</si>
  <si>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</si>
  <si>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</si>
  <si>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</si>
  <si>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</si>
  <si>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</si>
  <si>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</si>
  <si>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</si>
  <si>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</si>
  <si>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</si>
  <si>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</si>
  <si>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</si>
  <si>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</si>
  <si>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</si>
  <si>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</si>
  <si>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</si>
  <si>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</si>
  <si>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</si>
  <si>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</si>
  <si>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</si>
  <si>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</si>
  <si>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</si>
  <si>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</si>
  <si>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</si>
  <si>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</si>
  <si>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</si>
  <si>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</si>
  <si>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</si>
  <si>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</si>
  <si>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</si>
  <si>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</si>
  <si>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</si>
  <si>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</si>
  <si>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</si>
  <si>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</si>
  <si>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</si>
  <si>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</si>
  <si>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</si>
  <si>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</si>
  <si>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</si>
  <si>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</si>
  <si>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</si>
  <si>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</si>
  <si>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</si>
  <si>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</si>
  <si>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</si>
  <si>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</si>
  <si>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</si>
  <si>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</si>
  <si>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</si>
  <si>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</si>
  <si>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</si>
  <si>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</si>
  <si>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</si>
  <si>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</si>
  <si>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</si>
  <si>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Crawford</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</si>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</sst>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Crawford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N=35</c:v>
                </c:pt>
                <c:pt idx="6">
                  <c:v>Arrests, total N=22</c:v>
                </c:pt>
                <c:pt idx="7">
                  <c:v>Population, total N=1121</c:v>
                </c:pt>
              </c:strCache>
            </c:strRef>
          </c:cat>
          <c:val>
            <c:numRef>
              <c:f>'Stacked 100%'!$B$7:$B$14</c:f>
              <c:numCache>
                <c:formatCode>0%</c:formatCode>
                <c:ptCount val="8"/>
                <c:pt idx="0">
                  <c:v>0</c:v>
                </c:pt>
                <c:pt idx="1">
                  <c:v>0</c:v>
                </c:pt>
                <c:pt idx="2">
                  <c:v>7.1428571428571425E-2</c:v>
                </c:pt>
                <c:pt idx="3">
                  <c:v>6.25E-2</c:v>
                </c:pt>
                <c:pt idx="4">
                  <c:v>0</c:v>
                </c:pt>
                <c:pt idx="5">
                  <c:v>0.14285714285714285</c:v>
                </c:pt>
                <c:pt idx="6">
                  <c:v>0.40909090909090912</c:v>
                </c:pt>
                <c:pt idx="7">
                  <c:v>2.6761819803746655E-2</c:v>
                </c:pt>
              </c:numCache>
            </c:numRef>
          </c:val>
          <c:extLst>
            <c:ext xmlns:c16="http://schemas.microsoft.com/office/drawing/2014/chart" uri="{C3380CC4-5D6E-409C-BE32-E72D297353CC}">
              <c16:uniqueId val="{00000000-C53A-4190-B431-800C4AD4077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N=35</c:v>
                </c:pt>
                <c:pt idx="6">
                  <c:v>Arrests, total N=22</c:v>
                </c:pt>
                <c:pt idx="7">
                  <c:v>Population, total N=1121</c:v>
                </c:pt>
              </c:strCache>
            </c:strRef>
          </c:cat>
          <c:val>
            <c:numRef>
              <c:f>'Stacked 100%'!$C$7:$C$14</c:f>
              <c:numCache>
                <c:formatCode>0%</c:formatCode>
                <c:ptCount val="8"/>
                <c:pt idx="0">
                  <c:v>0</c:v>
                </c:pt>
                <c:pt idx="1">
                  <c:v>0</c:v>
                </c:pt>
                <c:pt idx="2">
                  <c:v>0</c:v>
                </c:pt>
                <c:pt idx="3">
                  <c:v>0</c:v>
                </c:pt>
                <c:pt idx="4">
                  <c:v>0</c:v>
                </c:pt>
                <c:pt idx="5">
                  <c:v>0</c:v>
                </c:pt>
                <c:pt idx="6">
                  <c:v>0</c:v>
                </c:pt>
                <c:pt idx="7">
                  <c:v>5.352363960749331E-2</c:v>
                </c:pt>
              </c:numCache>
            </c:numRef>
          </c:val>
          <c:extLst>
            <c:ext xmlns:c16="http://schemas.microsoft.com/office/drawing/2014/chart" uri="{C3380CC4-5D6E-409C-BE32-E72D297353CC}">
              <c16:uniqueId val="{00000001-C53A-4190-B431-800C4AD4077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N=35</c:v>
                </c:pt>
                <c:pt idx="6">
                  <c:v>Arrests, total N=22</c:v>
                </c:pt>
                <c:pt idx="7">
                  <c:v>Population, total N=1121</c:v>
                </c:pt>
              </c:strCache>
            </c:strRef>
          </c:cat>
          <c:val>
            <c:numRef>
              <c:f>'Stacked 100%'!$H$7:$H$14</c:f>
              <c:numCache>
                <c:formatCode>0%</c:formatCode>
                <c:ptCount val="8"/>
                <c:pt idx="0">
                  <c:v>0</c:v>
                </c:pt>
                <c:pt idx="1">
                  <c:v>0</c:v>
                </c:pt>
                <c:pt idx="2">
                  <c:v>0</c:v>
                </c:pt>
                <c:pt idx="3">
                  <c:v>0</c:v>
                </c:pt>
                <c:pt idx="4">
                  <c:v>0</c:v>
                </c:pt>
                <c:pt idx="5">
                  <c:v>8.1632653061224482E-4</c:v>
                </c:pt>
                <c:pt idx="6">
                  <c:v>2.0661157024793389E-3</c:v>
                </c:pt>
                <c:pt idx="7">
                  <c:v>1.9894305533561294E-5</c:v>
                </c:pt>
              </c:numCache>
            </c:numRef>
          </c:val>
          <c:extLst>
            <c:ext xmlns:c16="http://schemas.microsoft.com/office/drawing/2014/chart" uri="{C3380CC4-5D6E-409C-BE32-E72D297353CC}">
              <c16:uniqueId val="{00000002-C53A-4190-B431-800C4AD4077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N=35</c:v>
                </c:pt>
                <c:pt idx="6">
                  <c:v>Arrests, total N=22</c:v>
                </c:pt>
                <c:pt idx="7">
                  <c:v>Population, total N=1121</c:v>
                </c:pt>
              </c:strCache>
            </c:strRef>
          </c:cat>
          <c:val>
            <c:numRef>
              <c:f>'Stacked 100%'!$I$7:$I$14</c:f>
              <c:numCache>
                <c:formatCode>0%</c:formatCode>
                <c:ptCount val="8"/>
                <c:pt idx="0">
                  <c:v>0</c:v>
                </c:pt>
                <c:pt idx="1">
                  <c:v>0</c:v>
                </c:pt>
                <c:pt idx="2">
                  <c:v>0.9285714285714286</c:v>
                </c:pt>
                <c:pt idx="3">
                  <c:v>0.9375</c:v>
                </c:pt>
                <c:pt idx="4">
                  <c:v>0</c:v>
                </c:pt>
                <c:pt idx="5">
                  <c:v>0.82857142857142863</c:v>
                </c:pt>
                <c:pt idx="6">
                  <c:v>0.5</c:v>
                </c:pt>
                <c:pt idx="7">
                  <c:v>0.89741302408563783</c:v>
                </c:pt>
              </c:numCache>
            </c:numRef>
          </c:val>
          <c:extLst>
            <c:ext xmlns:c16="http://schemas.microsoft.com/office/drawing/2014/chart" uri="{C3380CC4-5D6E-409C-BE32-E72D297353CC}">
              <c16:uniqueId val="{00000003-C53A-4190-B431-800C4AD40771}"/>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N=14</c:v>
                </c:pt>
                <c:pt idx="3">
                  <c:v>Petitions, total N=16</c:v>
                </c:pt>
                <c:pt idx="4">
                  <c:v>Detentions, total N=0</c:v>
                </c:pt>
                <c:pt idx="5">
                  <c:v>Referrals, total N=35</c:v>
                </c:pt>
                <c:pt idx="6">
                  <c:v>Arrests, total N=22</c:v>
                </c:pt>
                <c:pt idx="7">
                  <c:v>Population, total N=1121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53A-4190-B431-800C4AD40771}"/>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1121</v>
      </c>
      <c r="C6" s="11">
        <v>1006</v>
      </c>
      <c r="D6" s="11">
        <v>30</v>
      </c>
      <c r="E6" s="11">
        <v>60</v>
      </c>
      <c r="F6" s="11">
        <v>10</v>
      </c>
      <c r="G6" s="11"/>
      <c r="H6" s="11">
        <v>15</v>
      </c>
      <c r="I6" s="11"/>
      <c r="J6" s="91">
        <f>SUM(D6:I6)</f>
        <v>115</v>
      </c>
      <c r="K6" s="92"/>
    </row>
    <row r="7" spans="1:11" ht="15.75" customHeight="1" thickBot="1">
      <c r="A7" s="10" t="s">
        <v>8</v>
      </c>
      <c r="B7" s="11">
        <f t="shared" ref="B7:B15" si="0">SUM(C7:I7)+K7</f>
        <v>22</v>
      </c>
      <c r="C7" s="11">
        <v>11</v>
      </c>
      <c r="D7" s="11">
        <v>9</v>
      </c>
      <c r="E7" s="11">
        <v>0</v>
      </c>
      <c r="F7" s="11">
        <v>0</v>
      </c>
      <c r="G7" s="11">
        <v>0</v>
      </c>
      <c r="H7" s="11">
        <v>1</v>
      </c>
      <c r="I7" s="11"/>
      <c r="J7" s="91">
        <f t="shared" ref="J7:J15" si="1">SUM(D7:I7)</f>
        <v>10</v>
      </c>
      <c r="K7" s="92">
        <v>1</v>
      </c>
    </row>
    <row r="8" spans="1:11" ht="15.75" customHeight="1" thickBot="1">
      <c r="A8" s="10" t="s">
        <v>9</v>
      </c>
      <c r="B8" s="11">
        <f t="shared" si="0"/>
        <v>35</v>
      </c>
      <c r="C8" s="11">
        <v>29</v>
      </c>
      <c r="D8" s="11">
        <v>5</v>
      </c>
      <c r="E8" s="11"/>
      <c r="F8" s="11"/>
      <c r="G8" s="11"/>
      <c r="H8" s="11"/>
      <c r="I8" s="11">
        <v>1</v>
      </c>
      <c r="J8" s="91">
        <f t="shared" si="1"/>
        <v>6</v>
      </c>
      <c r="K8" s="92"/>
    </row>
    <row r="9" spans="1:11" ht="15.75" customHeight="1" thickBot="1">
      <c r="A9" s="10" t="s">
        <v>10</v>
      </c>
      <c r="B9" s="11">
        <f t="shared" si="0"/>
        <v>2</v>
      </c>
      <c r="C9" s="11">
        <v>1</v>
      </c>
      <c r="D9" s="11">
        <v>1</v>
      </c>
      <c r="E9" s="11"/>
      <c r="F9" s="11"/>
      <c r="G9" s="11"/>
      <c r="H9" s="11"/>
      <c r="I9" s="11"/>
      <c r="J9" s="91">
        <f t="shared" si="1"/>
        <v>1</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16</v>
      </c>
      <c r="C11" s="11">
        <v>15</v>
      </c>
      <c r="D11" s="11">
        <v>1</v>
      </c>
      <c r="E11" s="11"/>
      <c r="F11" s="11"/>
      <c r="G11" s="11"/>
      <c r="H11" s="11"/>
      <c r="I11" s="11"/>
      <c r="J11" s="91">
        <f t="shared" si="1"/>
        <v>1</v>
      </c>
      <c r="K11" s="92"/>
    </row>
    <row r="12" spans="1:11" ht="15.75" customHeight="1" thickBot="1">
      <c r="A12" s="10" t="s">
        <v>13</v>
      </c>
      <c r="B12" s="11">
        <f t="shared" si="0"/>
        <v>14</v>
      </c>
      <c r="C12" s="11">
        <v>13</v>
      </c>
      <c r="D12" s="11">
        <v>1</v>
      </c>
      <c r="E12" s="11"/>
      <c r="F12" s="11"/>
      <c r="G12" s="11"/>
      <c r="H12" s="11"/>
      <c r="I12" s="11"/>
      <c r="J12" s="91">
        <f t="shared" si="1"/>
        <v>1</v>
      </c>
      <c r="K12" s="92"/>
    </row>
    <row r="13" spans="1:11" ht="15.75" customHeight="1" thickBot="1">
      <c r="A13" s="10" t="s">
        <v>133</v>
      </c>
      <c r="B13" s="11">
        <f t="shared" si="0"/>
        <v>33</v>
      </c>
      <c r="C13" s="11">
        <v>28</v>
      </c>
      <c r="D13" s="11">
        <v>4</v>
      </c>
      <c r="E13" s="11"/>
      <c r="F13" s="11"/>
      <c r="G13" s="11"/>
      <c r="H13" s="11"/>
      <c r="I13" s="11">
        <v>1</v>
      </c>
      <c r="J13" s="91">
        <f t="shared" si="1"/>
        <v>5</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1006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10.934393638170974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995</v>
      </c>
      <c r="R7" s="42">
        <f t="shared" ref="R7:R15" si="5">SUM(N7:Q7)</f>
        <v>1006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29</v>
      </c>
      <c r="D8" s="34">
        <f>IF((AND(C67&gt;0,C8&gt;0)),(C8/C67),0)</f>
        <v>263.63636363636363</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29</v>
      </c>
      <c r="Q8" s="42">
        <f>(C$67*L67)-C8</f>
        <v>-18</v>
      </c>
      <c r="R8" s="42">
        <f t="shared" si="5"/>
        <v>11.05</v>
      </c>
      <c r="S8" s="30">
        <f t="shared" si="6"/>
        <v>1007.7876249999995</v>
      </c>
      <c r="T8" s="30">
        <f t="shared" si="7"/>
        <v>-312.67500000000024</v>
      </c>
      <c r="U8" s="31">
        <f t="shared" si="8"/>
        <v>-3.2231154553450025</v>
      </c>
    </row>
    <row r="9" spans="2:21" ht="18" customHeight="1">
      <c r="B9" s="32" t="str">
        <f>'Data Entry'!A9</f>
        <v xml:space="preserve">4. Cases Diverted </v>
      </c>
      <c r="C9" s="33">
        <f>'Data Entry'!C9</f>
        <v>1</v>
      </c>
      <c r="D9" s="34">
        <f>IF((AND(C68&gt;0,C9&gt;0)),((C9/C68)),0)</f>
        <v>3.4482758620689657</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1</v>
      </c>
      <c r="Q9" s="42">
        <f>(C$68*L68)-C9</f>
        <v>27.999999999999996</v>
      </c>
      <c r="R9" s="42">
        <f t="shared" si="5"/>
        <v>29.999999999999996</v>
      </c>
      <c r="S9" s="30">
        <f t="shared" si="6"/>
        <v>29.999999999999996</v>
      </c>
      <c r="T9" s="30">
        <f t="shared" si="7"/>
        <v>840.99999999999977</v>
      </c>
      <c r="U9" s="31">
        <f t="shared" si="8"/>
        <v>3.5671819262782407E-2</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28.999999999999996</v>
      </c>
      <c r="R10" s="42">
        <f t="shared" si="5"/>
        <v>29.999999999999996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51.724137931034484</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15</v>
      </c>
      <c r="Q11" s="42">
        <f>(C$68*L68)-C11</f>
        <v>13.999999999999996</v>
      </c>
      <c r="R11" s="42">
        <f t="shared" si="5"/>
        <v>29.999999999999996</v>
      </c>
      <c r="S11" s="30">
        <f t="shared" si="6"/>
        <v>6749.9999999999991</v>
      </c>
      <c r="T11" s="30">
        <f t="shared" si="7"/>
        <v>6524.9999999999973</v>
      </c>
      <c r="U11" s="31">
        <f t="shared" si="8"/>
        <v>1.0344827586206899</v>
      </c>
    </row>
    <row r="12" spans="2:21" ht="18" customHeight="1">
      <c r="B12" s="32" t="str">
        <f>'Data Entry'!A12</f>
        <v>7. Cases Resulting in Delinquent Findings</v>
      </c>
      <c r="C12" s="33">
        <f>'Data Entry'!C12</f>
        <v>13</v>
      </c>
      <c r="D12" s="34">
        <f>IF(((AND(C69&gt;0,C12&gt;0))),(C12/(C69)),0)</f>
        <v>86.666666666666671</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215.38461538461539</v>
      </c>
      <c r="E13" s="33">
        <f>'Data Entry'!I13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28</v>
      </c>
      <c r="Q13" s="42">
        <f>(C70*L70)-C13</f>
        <v>-15</v>
      </c>
      <c r="R13" s="42">
        <f t="shared" si="5"/>
        <v>13</v>
      </c>
      <c r="S13" s="30">
        <f t="shared" si="6"/>
        <v>2197</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1.006</v>
      </c>
      <c r="D42" s="56">
        <f>E6/1000</f>
        <v>0</v>
      </c>
      <c r="E42" s="56">
        <f>MAX(C42:D42)</f>
        <v>1.006</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0.28999999999999998</v>
      </c>
      <c r="D44" s="56">
        <f>E8/100</f>
        <v>0.01</v>
      </c>
      <c r="E44" s="56">
        <f>MAX(C44:D44,0)</f>
        <v>0.28999999999999998</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1.006</v>
      </c>
      <c r="D48" s="56">
        <f>D42</f>
        <v>0</v>
      </c>
      <c r="E48" s="56">
        <f>MAX(C48:D48)</f>
        <v>1.006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0.01</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1.006</v>
      </c>
      <c r="D54" s="56">
        <f>D48</f>
        <v>0</v>
      </c>
      <c r="E54" s="56">
        <f>MAX(C54:D54)</f>
        <v>1.006</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0.28999999999999998</v>
      </c>
      <c r="D56" s="49">
        <f t="shared" si="10"/>
        <v>0.01</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1.006</v>
      </c>
      <c r="D60" s="56">
        <f>D54</f>
        <v>0</v>
      </c>
      <c r="E60" s="56">
        <f>MAX(C60:D60)</f>
        <v>1.006</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0.28999999999999998</v>
      </c>
      <c r="D62" s="49">
        <f t="shared" si="11"/>
        <v>0.01</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1.006</v>
      </c>
      <c r="D66" s="56">
        <f>D60</f>
        <v>0</v>
      </c>
      <c r="E66" s="56">
        <f>MAX(C66:D66)</f>
        <v>1.006</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0.01</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1006</v>
      </c>
      <c r="D6" s="34"/>
      <c r="E6" s="33">
        <f>'Data Entry'!J6</f>
        <v>115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10.934393638170974</v>
      </c>
      <c r="E7" s="33">
        <f>'Data Entry'!J7</f>
        <v>10</v>
      </c>
      <c r="F7" s="34">
        <f>IF((AND($E$7&gt;0,$D$66&gt;0)),($E$7/$D$66),0)</f>
        <v>86.956521739130437</v>
      </c>
      <c r="G7" s="39">
        <f t="shared" ref="G7:G15" si="0">IF(L$6=100,"*",IF(M7=FALSE,"--",IF(K7=20,"**",($F7/$D7))))</f>
        <v>7.9525691699604746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10</v>
      </c>
      <c r="O7" s="42">
        <f>E6-E7</f>
        <v>105</v>
      </c>
      <c r="P7" s="42">
        <f t="shared" ref="P7:P15" si="4">C7</f>
        <v>11</v>
      </c>
      <c r="Q7" s="42">
        <f>C6-C7</f>
        <v>995</v>
      </c>
      <c r="R7" s="42">
        <f t="shared" ref="R7:R15" si="5">SUM(N7:Q7)</f>
        <v>1121</v>
      </c>
      <c r="S7" s="30">
        <f t="shared" ref="S7:S15" si="6">R7*((((N7*Q7)-(O7*P7))^2))</f>
        <v>86711620025</v>
      </c>
      <c r="T7" s="30">
        <f t="shared" ref="T7:T15" si="7">(N7+O7)*(P7+Q7)*(N7+P7)*(O7+Q7)</f>
        <v>2672439000</v>
      </c>
      <c r="U7" s="31">
        <f t="shared" ref="U7:U15" si="8">IF((S7&gt;0),S7/T7,"- -")</f>
        <v>32.446622738629394</v>
      </c>
    </row>
    <row r="8" spans="2:21" ht="18" customHeight="1">
      <c r="B8" s="32" t="str">
        <f>'Data Entry'!A8</f>
        <v>3. Refer to Juvenile Court</v>
      </c>
      <c r="C8" s="33">
        <f>'Data Entry'!C8</f>
        <v>29</v>
      </c>
      <c r="D8" s="34">
        <f>IF((AND(C67&gt;0,C8&gt;0)),(C8/C67),0)</f>
        <v>263.63636363636363</v>
      </c>
      <c r="E8" s="33">
        <f>'Data Entry'!J8</f>
        <v>6</v>
      </c>
      <c r="F8" s="34">
        <f>IF((AND($E$8&gt;0,$D$67&gt;0)),($E8/$D67),0)</f>
        <v>60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6</v>
      </c>
      <c r="O8" s="42">
        <f>((D67*L67)-E8)+0.05</f>
        <v>4.05</v>
      </c>
      <c r="P8" s="42">
        <f t="shared" si="4"/>
        <v>29</v>
      </c>
      <c r="Q8" s="42">
        <f>(C$67*L67)-C8</f>
        <v>-18</v>
      </c>
      <c r="R8" s="42">
        <f t="shared" si="5"/>
        <v>21.049999999999997</v>
      </c>
      <c r="S8" s="30">
        <f t="shared" si="6"/>
        <v>1069923.1376249997</v>
      </c>
      <c r="T8" s="30">
        <f t="shared" si="7"/>
        <v>-53976.037500000006</v>
      </c>
      <c r="U8" s="31">
        <f t="shared" si="8"/>
        <v>-19.822187533217857</v>
      </c>
    </row>
    <row r="9" spans="2:21" ht="18" customHeight="1">
      <c r="B9" s="32" t="str">
        <f>'Data Entry'!A9</f>
        <v xml:space="preserve">4. Cases Diverted </v>
      </c>
      <c r="C9" s="33">
        <f>'Data Entry'!C9</f>
        <v>1</v>
      </c>
      <c r="D9" s="34">
        <f>IF((AND(C68&gt;0,C9&gt;0)),((C9/C68)),0)</f>
        <v>3.4482758620689657</v>
      </c>
      <c r="E9" s="33">
        <f>'Data Entry'!J9</f>
        <v>1</v>
      </c>
      <c r="F9" s="34">
        <f>IF((AND($E$9&gt;0,$D$68&gt;0)),(($E$9/$D$68)),0)</f>
        <v>16.666666666666668</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5</v>
      </c>
      <c r="P9" s="42">
        <f t="shared" si="4"/>
        <v>1</v>
      </c>
      <c r="Q9" s="42">
        <f>(C$68*L68)-C9</f>
        <v>27.999999999999996</v>
      </c>
      <c r="R9" s="42">
        <f t="shared" si="5"/>
        <v>35</v>
      </c>
      <c r="S9" s="30">
        <f t="shared" si="6"/>
        <v>18514.999999999996</v>
      </c>
      <c r="T9" s="30">
        <f t="shared" si="7"/>
        <v>11483.999999999998</v>
      </c>
      <c r="U9" s="31">
        <f t="shared" si="8"/>
        <v>1.6122431208638104</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28.999999999999996</v>
      </c>
      <c r="R10" s="42">
        <f t="shared" si="5"/>
        <v>35</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51.724137931034484</v>
      </c>
      <c r="E11" s="33">
        <f>'Data Entry'!J11</f>
        <v>1</v>
      </c>
      <c r="F11" s="34">
        <f>IF(((AND($E$11&gt;0,$D$68&gt;0))),($E$11/($D$68)),0)</f>
        <v>16.666666666666668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5</v>
      </c>
      <c r="P11" s="42">
        <f t="shared" si="4"/>
        <v>15</v>
      </c>
      <c r="Q11" s="42">
        <f>(C$68*L68)-C11</f>
        <v>13.999999999999996</v>
      </c>
      <c r="R11" s="42">
        <f t="shared" si="5"/>
        <v>35</v>
      </c>
      <c r="S11" s="30">
        <f t="shared" si="6"/>
        <v>130235</v>
      </c>
      <c r="T11" s="30">
        <f t="shared" si="7"/>
        <v>52895.999999999978</v>
      </c>
      <c r="U11" s="31">
        <f t="shared" si="8"/>
        <v>2.4620954325468856</v>
      </c>
    </row>
    <row r="12" spans="2:21" ht="18" customHeight="1">
      <c r="B12" s="32" t="str">
        <f>'Data Entry'!A12</f>
        <v>7. Cases Resulting in Delinquent Findings</v>
      </c>
      <c r="C12" s="33">
        <f>'Data Entry'!C12</f>
        <v>13</v>
      </c>
      <c r="D12" s="34">
        <f>IF(((AND(C69&gt;0,C12&gt;0))),(C12/(C69)),0)</f>
        <v>86.666666666666671</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13</v>
      </c>
      <c r="Q12" s="42">
        <f>(C69*L69)-C12</f>
        <v>2</v>
      </c>
      <c r="R12" s="42">
        <f t="shared" si="5"/>
        <v>16</v>
      </c>
      <c r="S12" s="30">
        <f t="shared" si="6"/>
        <v>64</v>
      </c>
      <c r="T12" s="30">
        <f t="shared" si="7"/>
        <v>420</v>
      </c>
      <c r="U12" s="31">
        <f t="shared" si="8"/>
        <v>0.15238095238095239</v>
      </c>
    </row>
    <row r="13" spans="2:21" ht="18" customHeight="1">
      <c r="B13" s="32" t="str">
        <f>'Data Entry'!A13</f>
        <v>8. Cases Resulting in Probation Placement</v>
      </c>
      <c r="C13" s="33">
        <f>'Data Entry'!C13</f>
        <v>28</v>
      </c>
      <c r="D13" s="34">
        <f>IF(((AND(C70&gt;0,C13&gt;0))),(C13/(C70)),0)</f>
        <v>215.38461538461539</v>
      </c>
      <c r="E13" s="33">
        <f>'Data Entry'!J13</f>
        <v>5</v>
      </c>
      <c r="F13" s="34">
        <f>IF(((AND($D$70&gt;0,$E$13&gt;0))),($E$13/($D$70)),0)</f>
        <v>500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5</v>
      </c>
      <c r="O13" s="42">
        <f>(D70*L70)-E13</f>
        <v>-4</v>
      </c>
      <c r="P13" s="42">
        <f t="shared" si="4"/>
        <v>28</v>
      </c>
      <c r="Q13" s="42">
        <f>(C70*L70)-C13</f>
        <v>-15</v>
      </c>
      <c r="R13" s="42">
        <f t="shared" si="5"/>
        <v>14</v>
      </c>
      <c r="S13" s="30">
        <f t="shared" si="6"/>
        <v>19166</v>
      </c>
      <c r="T13" s="30">
        <f t="shared" si="7"/>
        <v>-8151</v>
      </c>
      <c r="U13" s="31">
        <f t="shared" si="8"/>
        <v>-2.3513679303152988</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13</v>
      </c>
      <c r="R14" s="42">
        <f t="shared" si="5"/>
        <v>14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15</v>
      </c>
      <c r="R15" s="42">
        <f t="shared" si="5"/>
        <v>16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1.006</v>
      </c>
      <c r="D42" s="56">
        <f>E6/1000</f>
        <v>0.115</v>
      </c>
      <c r="E42" s="56">
        <f>MAX(C42:D42)</f>
        <v>1.006</v>
      </c>
      <c r="G42" s="1" t="str">
        <f>B42</f>
        <v>per 1000 youth</v>
      </c>
      <c r="L42" s="57">
        <v>1000</v>
      </c>
      <c r="M42" s="57"/>
      <c r="R42" s="49"/>
    </row>
    <row r="43" spans="2:18" ht="15" hidden="1" customHeight="1">
      <c r="B43" s="49" t="s">
        <v>87</v>
      </c>
      <c r="C43" s="56">
        <f>C7/100</f>
        <v>0.11</v>
      </c>
      <c r="D43" s="56">
        <f>E7/100</f>
        <v>0.1</v>
      </c>
      <c r="E43" s="56">
        <f>MAX(C43:D43,0)</f>
        <v>0.11</v>
      </c>
      <c r="G43" s="1" t="str">
        <f>B43</f>
        <v>per 100 arrests</v>
      </c>
      <c r="L43" s="57">
        <v>100</v>
      </c>
      <c r="M43" s="57"/>
      <c r="R43" s="49"/>
    </row>
    <row r="44" spans="2:18" ht="15" hidden="1" customHeight="1">
      <c r="B44" s="49" t="s">
        <v>88</v>
      </c>
      <c r="C44" s="56">
        <f>C8/100</f>
        <v>0.28999999999999998</v>
      </c>
      <c r="D44" s="56">
        <f>E8/100</f>
        <v>0.06</v>
      </c>
      <c r="E44" s="56">
        <f>MAX(C44:D44,0)</f>
        <v>0.28999999999999998</v>
      </c>
      <c r="G44" s="1" t="str">
        <f>B44</f>
        <v>per 100 referrals</v>
      </c>
      <c r="L44" s="57">
        <v>100</v>
      </c>
      <c r="M44" s="57"/>
      <c r="R44" s="49"/>
    </row>
    <row r="45" spans="2:18" ht="15" hidden="1" customHeight="1">
      <c r="B45" s="49" t="s">
        <v>89</v>
      </c>
      <c r="C45" s="49">
        <f>C11/100</f>
        <v>0.15</v>
      </c>
      <c r="D45" s="49">
        <f>E11/100</f>
        <v>0.01</v>
      </c>
      <c r="E45" s="56">
        <f>MAX(C45:D45,0)</f>
        <v>0.15</v>
      </c>
      <c r="G45" s="1" t="str">
        <f>B45</f>
        <v>per 100 youth petitioned</v>
      </c>
      <c r="L45" s="57">
        <v>100</v>
      </c>
      <c r="M45" s="57"/>
      <c r="R45" s="49"/>
    </row>
    <row r="46" spans="2:18" ht="15" hidden="1" customHeight="1">
      <c r="B46" s="49" t="s">
        <v>90</v>
      </c>
      <c r="C46" s="49">
        <f>C12/100</f>
        <v>0.13</v>
      </c>
      <c r="D46" s="49">
        <f>E12/100</f>
        <v>0.01</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1.006</v>
      </c>
      <c r="D48" s="56">
        <f>D42</f>
        <v>0.115</v>
      </c>
      <c r="E48" s="56">
        <f>MAX(C48:D48)</f>
        <v>1.006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0.1</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0.06</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0.01</v>
      </c>
      <c r="E51" s="49">
        <f>MAX(C51:D51)</f>
        <v>0.15</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0.01</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1.006</v>
      </c>
      <c r="D54" s="56">
        <f>D48</f>
        <v>0.115</v>
      </c>
      <c r="E54" s="56">
        <f>MAX(C54:D54)</f>
        <v>1.006</v>
      </c>
      <c r="G54" s="1" t="str">
        <f>G48</f>
        <v>per 1000 youth</v>
      </c>
      <c r="L54" s="58">
        <f>L48</f>
        <v>1000</v>
      </c>
      <c r="M54" s="58"/>
    </row>
    <row r="55" spans="2:18" ht="15" hidden="1" customHeight="1">
      <c r="B55" s="49" t="str">
        <f t="shared" ref="B55:D56" si="10">IF(($E49&gt;0),B49,B48)</f>
        <v>per 100 arrests</v>
      </c>
      <c r="C55" s="49">
        <f t="shared" si="10"/>
        <v>0.11</v>
      </c>
      <c r="D55" s="49">
        <f t="shared" si="10"/>
        <v>0.1</v>
      </c>
      <c r="E55" s="49">
        <f>MAX(C55:D55)</f>
        <v>0.11</v>
      </c>
      <c r="G55" s="1" t="str">
        <f>G49</f>
        <v>per 100 arrests</v>
      </c>
      <c r="L55" s="58">
        <f>IF(($E49&gt;0),L49,L48)</f>
        <v>100</v>
      </c>
      <c r="M55" s="58"/>
    </row>
    <row r="56" spans="2:18" ht="15" hidden="1" customHeight="1">
      <c r="B56" s="49" t="str">
        <f t="shared" si="10"/>
        <v>per 100 referrals</v>
      </c>
      <c r="C56" s="49">
        <f t="shared" si="10"/>
        <v>0.28999999999999998</v>
      </c>
      <c r="D56" s="49">
        <f t="shared" si="10"/>
        <v>0.06</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0.15</v>
      </c>
      <c r="D57" s="49">
        <f>IF(($E51&gt;0),D51,D50)</f>
        <v>0.01</v>
      </c>
      <c r="E57" s="49">
        <f>MAX(C57:D57)</f>
        <v>0.15</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0.01</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1.006</v>
      </c>
      <c r="D60" s="56">
        <f>D54</f>
        <v>0.115</v>
      </c>
      <c r="E60" s="56">
        <f>MAX(C60:D60)</f>
        <v>1.006</v>
      </c>
      <c r="G60" s="1" t="str">
        <f>G54</f>
        <v>per 1000 youth</v>
      </c>
      <c r="L60" s="58">
        <f>L54</f>
        <v>1000</v>
      </c>
      <c r="M60" s="58"/>
    </row>
    <row r="61" spans="2:18" ht="15" hidden="1" customHeight="1">
      <c r="B61" s="49" t="str">
        <f t="shared" ref="B61:D62" si="11">IF(($E55&gt;0),B55,B54)</f>
        <v>per 100 arrests</v>
      </c>
      <c r="C61" s="49">
        <f t="shared" si="11"/>
        <v>0.11</v>
      </c>
      <c r="D61" s="49">
        <f t="shared" si="11"/>
        <v>0.1</v>
      </c>
      <c r="E61" s="49">
        <f>MAX(C61:D61)</f>
        <v>0.11</v>
      </c>
      <c r="G61" s="1" t="str">
        <f>G55</f>
        <v>per 100 arrests</v>
      </c>
      <c r="L61" s="58">
        <f>IF(($E55&gt;0),L55,L54)</f>
        <v>100</v>
      </c>
      <c r="M61" s="58"/>
    </row>
    <row r="62" spans="2:18" ht="15" hidden="1" customHeight="1">
      <c r="B62" s="49" t="str">
        <f t="shared" si="11"/>
        <v>per 100 referrals</v>
      </c>
      <c r="C62" s="49">
        <f t="shared" si="11"/>
        <v>0.28999999999999998</v>
      </c>
      <c r="D62" s="49">
        <f t="shared" si="11"/>
        <v>0.06</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0.15</v>
      </c>
      <c r="D63" s="49">
        <f>IF(($E57&gt;0),D57,D56)</f>
        <v>0.01</v>
      </c>
      <c r="E63" s="49">
        <f>MAX(C63:D63)</f>
        <v>0.15</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0.01</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1.006</v>
      </c>
      <c r="D66" s="56">
        <f>D60</f>
        <v>0.115</v>
      </c>
      <c r="E66" s="56">
        <f>MAX(C66:D66)</f>
        <v>1.006</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0.1</v>
      </c>
      <c r="E67" s="49">
        <f>MAX(C67:D67)</f>
        <v>0.11</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0.06</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0.01</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0.01</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Crawford</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f>'All Minorities'!G7</f>
        <v>7.9525691699604746</v>
      </c>
      <c r="L7" s="1">
        <f>'Black or African-American'!L7</f>
        <v>20</v>
      </c>
      <c r="M7" s="1">
        <f>Hispanic!L7</f>
        <v>40</v>
      </c>
      <c r="N7" s="1">
        <f>Asian!L7</f>
        <v>139</v>
      </c>
      <c r="O7" s="1" t="e">
        <f>Hawaiian!L7</f>
        <v>#VALUE!</v>
      </c>
      <c r="P7" s="1">
        <f>'Am Indian'!L7</f>
        <v>20</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#DIV/0!</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1121</v>
      </c>
      <c r="D3" s="57">
        <f>'Data Entry'!C6</f>
        <v>1006</v>
      </c>
      <c r="E3" s="57">
        <f>'Data Entry'!D6</f>
        <v>30</v>
      </c>
      <c r="F3" s="57">
        <f>'Data Entry'!E6</f>
        <v>60</v>
      </c>
      <c r="G3" s="57">
        <f>'Data Entry'!F6</f>
        <v>10</v>
      </c>
      <c r="H3" s="57">
        <f>'Data Entry'!G6</f>
        <v>0</v>
      </c>
      <c r="I3" s="57">
        <f>'Data Entry'!H6</f>
        <v>15</v>
      </c>
      <c r="J3" s="57">
        <f>'Data Entry'!I6</f>
        <v>0</v>
      </c>
      <c r="K3" s="57">
        <f>'Data Entry'!J6</f>
        <v>115</v>
      </c>
    </row>
    <row r="4" spans="2:11" ht="15" customHeight="1">
      <c r="B4" s="16" t="s">
        <v>8</v>
      </c>
      <c r="C4" s="1">
        <f>IF((C$3&gt;0),(1000*('Data Entry'!B7/'Data Entry'!B$6)), 0)</f>
        <v>19.625334522747547</v>
      </c>
      <c r="D4" s="1">
        <f>IF((D$3&gt;0),(1000*('Data Entry'!C7/'Data Entry'!C$6)), 0)</f>
        <v>10.934393638170976</v>
      </c>
      <c r="E4" s="1">
        <f>IF((E$3&gt;0),(1000*('Data Entry'!D7/'Data Entry'!D$6)), 0)</f>
        <v>300</v>
      </c>
      <c r="F4" s="1">
        <f>IF((F$3&gt;0),(1000*('Data Entry'!E7/'Data Entry'!E$6)), 0)</f>
        <v>0</v>
      </c>
      <c r="G4" s="1">
        <f>IF((G$3&gt;0),(1000*('Data Entry'!F7/'Data Entry'!F$6)), 0)</f>
        <v>0</v>
      </c>
      <c r="H4" s="1">
        <f>IF((H$3&gt;0),(1000*('Data Entry'!G7/'Data Entry'!G$6)), 0)</f>
        <v>0</v>
      </c>
      <c r="I4" s="1">
        <f>IF((I$3&gt;0),(1000*('Data Entry'!H7/'Data Entry'!H$6)), 0)</f>
        <v>66.666666666666671</v>
      </c>
      <c r="J4" s="1">
        <f>IF((J$3&gt;0),(1000*('Data Entry'!I7/'Data Entry'!I$6)), 0)</f>
        <v>0</v>
      </c>
      <c r="K4" s="1">
        <f>IF((K$3&gt;0),(1000*('Data Entry'!J7/'Data Entry'!J$6)), 0)</f>
        <v>86.956521739130437</v>
      </c>
    </row>
    <row r="5" spans="2:11" ht="15" customHeight="1">
      <c r="B5" s="16" t="s">
        <v>9</v>
      </c>
      <c r="C5" s="1">
        <f>IF((C$3&gt;0),(1000*('Data Entry'!B8/'Data Entry'!B$6)), 0)</f>
        <v>31.222123104371097</v>
      </c>
      <c r="D5" s="1">
        <f>IF((D$3&gt;0),(1000*('Data Entry'!C8/'Data Entry'!C$6)), 0)</f>
        <v>28.827037773359841</v>
      </c>
      <c r="E5" s="1">
        <f>IF((E$3&gt;0),(1000*('Data Entry'!D8/'Data Entry'!D$6)), 0)</f>
        <v>166.66666666666666</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52.173913043478258</v>
      </c>
    </row>
    <row r="6" spans="2:11" ht="15" customHeight="1">
      <c r="B6" s="16" t="s">
        <v>10</v>
      </c>
      <c r="C6" s="1">
        <f>IF((C$3&gt;0),(1000*('Data Entry'!B9/'Data Entry'!B$6)), 0)</f>
        <v>1.784121320249777</v>
      </c>
      <c r="D6" s="1">
        <f>IF((D$3&gt;0),(1000*('Data Entry'!C9/'Data Entry'!C$6)), 0)</f>
        <v>0.9940357852882703</v>
      </c>
      <c r="E6" s="1">
        <f>IF((E$3&gt;0),(1000*('Data Entry'!D9/'Data Entry'!D$6)), 0)</f>
        <v>33.333333333333336</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8.695652173913043</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14.272970561998216</v>
      </c>
      <c r="D8" s="1">
        <f>IF((D$3&gt;0),(1000*('Data Entry'!C11/'Data Entry'!C$6)), 0)</f>
        <v>14.910536779324055</v>
      </c>
      <c r="E8" s="1">
        <f>IF((E$3&gt;0),(1000*('Data Entry'!D11/'Data Entry'!D$6)), 0)</f>
        <v>33.333333333333336</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8.695652173913043</v>
      </c>
    </row>
    <row r="9" spans="2:11" ht="15" customHeight="1">
      <c r="B9" s="16" t="s">
        <v>13</v>
      </c>
      <c r="C9" s="1">
        <f>IF((C$3&gt;0),(1000*('Data Entry'!B12/'Data Entry'!B$6)), 0)</f>
        <v>12.488849241748438</v>
      </c>
      <c r="D9" s="1">
        <f>IF((D$3&gt;0),(1000*('Data Entry'!C12/'Data Entry'!C$6)), 0)</f>
        <v>12.922465208747514</v>
      </c>
      <c r="E9" s="1">
        <f>IF((E$3&gt;0),(1000*('Data Entry'!D12/'Data Entry'!D$6)), 0)</f>
        <v>33.333333333333336</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8.695652173913043</v>
      </c>
    </row>
    <row r="10" spans="2:11" ht="15" customHeight="1">
      <c r="B10" s="16" t="s">
        <v>14</v>
      </c>
      <c r="C10" s="1">
        <f>IF((C$3&gt;0),(1000*('Data Entry'!B13/'Data Entry'!B$6)), 0)</f>
        <v>29.438001784121322</v>
      </c>
      <c r="D10" s="1">
        <f>IF((D$3&gt;0),(1000*('Data Entry'!C13/'Data Entry'!C$6)), 0)</f>
        <v>27.833001988071572</v>
      </c>
      <c r="E10" s="1">
        <f>IF((E$3&gt;0),(1000*('Data Entry'!D13/'Data Entry'!D$6)), 0)</f>
        <v>133.33333333333334</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43.478260869565219</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Crawford</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27.436363636363634</v>
      </c>
      <c r="E19" s="72" t="str">
        <f t="shared" si="1"/>
        <v>--</v>
      </c>
      <c r="F19" s="72" t="str">
        <f t="shared" si="1"/>
        <v>--</v>
      </c>
      <c r="G19" s="72" t="str">
        <f t="shared" si="1"/>
        <v>--</v>
      </c>
      <c r="H19" s="72">
        <f t="shared" si="1"/>
        <v>6.0969696969696967</v>
      </c>
      <c r="I19" s="72" t="str">
        <f t="shared" si="1"/>
        <v>--</v>
      </c>
      <c r="J19" s="73">
        <f t="shared" si="1"/>
        <v>7.9525691699604737</v>
      </c>
    </row>
    <row r="20" spans="2:10" ht="15" customHeight="1">
      <c r="B20" s="71" t="s">
        <v>9</v>
      </c>
      <c r="C20" s="72">
        <f t="shared" ref="C20:J27" si="2">IF(AND(($D5&gt;0),(D5&gt;0)), (D5/$D5),"--")</f>
        <v>1</v>
      </c>
      <c r="D20" s="72">
        <f t="shared" si="2"/>
        <v>5.7816091954022983</v>
      </c>
      <c r="E20" s="72" t="str">
        <f t="shared" si="2"/>
        <v>--</v>
      </c>
      <c r="F20" s="72" t="str">
        <f t="shared" si="2"/>
        <v>--</v>
      </c>
      <c r="G20" s="72" t="str">
        <f t="shared" si="2"/>
        <v>--</v>
      </c>
      <c r="H20" s="72" t="str">
        <f t="shared" si="2"/>
        <v>--</v>
      </c>
      <c r="I20" s="72" t="str">
        <f t="shared" si="2"/>
        <v>--</v>
      </c>
      <c r="J20" s="73">
        <f t="shared" si="2"/>
        <v>1.8098950524737629</v>
      </c>
    </row>
    <row r="21" spans="2:10" ht="15" customHeight="1">
      <c r="B21" s="71" t="s">
        <v>10</v>
      </c>
      <c r="C21" s="72">
        <f t="shared" si="2"/>
        <v>1</v>
      </c>
      <c r="D21" s="72">
        <f t="shared" si="2"/>
        <v>33.533333333333339</v>
      </c>
      <c r="E21" s="72" t="str">
        <f t="shared" si="2"/>
        <v>--</v>
      </c>
      <c r="F21" s="72" t="str">
        <f t="shared" si="2"/>
        <v>--</v>
      </c>
      <c r="G21" s="72" t="str">
        <f t="shared" si="2"/>
        <v>--</v>
      </c>
      <c r="H21" s="72" t="str">
        <f t="shared" si="2"/>
        <v>--</v>
      </c>
      <c r="I21" s="72" t="str">
        <f t="shared" si="2"/>
        <v>--</v>
      </c>
      <c r="J21" s="73">
        <f t="shared" si="2"/>
        <v>8.7478260869565219</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2.235555555555556</v>
      </c>
      <c r="E23" s="72" t="str">
        <f t="shared" si="2"/>
        <v>--</v>
      </c>
      <c r="F23" s="72" t="str">
        <f t="shared" si="2"/>
        <v>--</v>
      </c>
      <c r="G23" s="72" t="str">
        <f t="shared" si="2"/>
        <v>--</v>
      </c>
      <c r="H23" s="72" t="str">
        <f t="shared" si="2"/>
        <v>--</v>
      </c>
      <c r="I23" s="72" t="str">
        <f t="shared" si="2"/>
        <v>--</v>
      </c>
      <c r="J23" s="73">
        <f t="shared" si="2"/>
        <v>0.58318840579710141</v>
      </c>
    </row>
    <row r="24" spans="2:10" ht="15" customHeight="1">
      <c r="B24" s="71" t="s">
        <v>13</v>
      </c>
      <c r="C24" s="72">
        <f t="shared" si="2"/>
        <v>1</v>
      </c>
      <c r="D24" s="72">
        <f t="shared" si="2"/>
        <v>2.5794871794871796</v>
      </c>
      <c r="E24" s="72" t="str">
        <f t="shared" si="2"/>
        <v>--</v>
      </c>
      <c r="F24" s="72" t="str">
        <f t="shared" si="2"/>
        <v>--</v>
      </c>
      <c r="G24" s="72" t="str">
        <f t="shared" si="2"/>
        <v>--</v>
      </c>
      <c r="H24" s="72" t="str">
        <f t="shared" si="2"/>
        <v>--</v>
      </c>
      <c r="I24" s="72" t="str">
        <f t="shared" si="2"/>
        <v>--</v>
      </c>
      <c r="J24" s="73">
        <f t="shared" si="2"/>
        <v>0.67290969899665554</v>
      </c>
    </row>
    <row r="25" spans="2:10" ht="15" customHeight="1">
      <c r="B25" s="71" t="s">
        <v>14</v>
      </c>
      <c r="C25" s="72">
        <f t="shared" si="2"/>
        <v>1</v>
      </c>
      <c r="D25" s="72">
        <f t="shared" si="2"/>
        <v>4.7904761904761903</v>
      </c>
      <c r="E25" s="72" t="str">
        <f t="shared" si="2"/>
        <v>--</v>
      </c>
      <c r="F25" s="72" t="str">
        <f t="shared" si="2"/>
        <v>--</v>
      </c>
      <c r="G25" s="72" t="str">
        <f t="shared" si="2"/>
        <v>--</v>
      </c>
      <c r="H25" s="72" t="str">
        <f t="shared" si="2"/>
        <v>--</v>
      </c>
      <c r="I25" s="72" t="str">
        <f t="shared" si="2"/>
        <v>--</v>
      </c>
      <c r="J25" s="73">
        <f t="shared" si="2"/>
        <v>1.5621118012422359</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Crawford</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1006</v>
      </c>
      <c r="D7" s="104">
        <f>'Data Entry'!D6</f>
        <v>30</v>
      </c>
      <c r="E7" s="105"/>
      <c r="F7" s="106">
        <f>'Data Entry'!E6</f>
        <v>60</v>
      </c>
      <c r="G7" s="105"/>
      <c r="H7" s="106">
        <f>'Data Entry'!F6</f>
        <v>10</v>
      </c>
      <c r="I7" s="105"/>
      <c r="J7" s="106">
        <f>'Data Entry'!G6</f>
        <v>0</v>
      </c>
      <c r="K7" s="105"/>
      <c r="L7" s="106">
        <f>'Data Entry'!H6</f>
        <v>15</v>
      </c>
      <c r="M7" s="105"/>
      <c r="N7" s="106">
        <f>'Data Entry'!I6</f>
        <v>0</v>
      </c>
      <c r="O7" s="105"/>
      <c r="P7" s="106">
        <f>'Data Entry'!J6</f>
        <v>115</v>
      </c>
      <c r="Q7" s="107"/>
    </row>
    <row r="8" spans="2:26" s="1" customFormat="1" ht="15" customHeight="1">
      <c r="B8" s="142" t="s">
        <v>8</v>
      </c>
      <c r="C8" s="103">
        <f>'Data Entry'!C7</f>
        <v>11</v>
      </c>
      <c r="D8" s="104">
        <f>'Data Entry'!D7</f>
        <v>9</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10</v>
      </c>
      <c r="Q8" s="107">
        <f>'All Minorities'!G7</f>
        <v>7.9525691699604746</v>
      </c>
      <c r="R8"/>
      <c r="T8" s="1">
        <f>'Black or African-American'!L7</f>
        <v>20</v>
      </c>
      <c r="U8" s="1">
        <f>Hispanic!L7</f>
        <v>40</v>
      </c>
      <c r="V8" s="1">
        <f>Asian!L7</f>
        <v>139</v>
      </c>
      <c r="W8" s="1" t="e">
        <f>Hawaiian!L7</f>
        <v>#VALUE!</v>
      </c>
      <c r="X8" s="1">
        <f>'Am Indian'!L7</f>
        <v>20</v>
      </c>
      <c r="Y8" s="1" t="e">
        <f>'Other - Mixed'!L7</f>
        <v>#VALUE!</v>
      </c>
      <c r="Z8" s="1">
        <f>'All Minorities'!L7</f>
        <v>1</v>
      </c>
    </row>
    <row r="9" spans="2:26" s="1" customFormat="1" ht="15" customHeight="1">
      <c r="B9" s="142" t="s">
        <v>134</v>
      </c>
      <c r="C9" s="103">
        <f>'Data Entry'!C8</f>
        <v>29</v>
      </c>
      <c r="D9" s="108">
        <f>'Data Entry'!D8</f>
        <v>5</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6</v>
      </c>
      <c r="Q9" s="111" t="str">
        <f>'All Minorities'!G8</f>
        <v>**</v>
      </c>
      <c r="R9"/>
      <c r="T9" s="1">
        <f>'Black or African-American'!L8</f>
        <v>20</v>
      </c>
      <c r="U9" s="1">
        <f>Hispanic!L8</f>
        <v>40</v>
      </c>
      <c r="V9" s="1">
        <f>Asian!L8</f>
        <v>139</v>
      </c>
      <c r="W9" s="1">
        <f>Hawaiian!L8</f>
        <v>139</v>
      </c>
      <c r="X9" s="1">
        <f>'Am Indian'!L8</f>
        <v>40</v>
      </c>
      <c r="Y9" s="1">
        <f>'Other - Mixed'!L8</f>
        <v>139</v>
      </c>
      <c r="Z9" s="1">
        <f>'All Minorities'!L8</f>
        <v>20</v>
      </c>
    </row>
    <row r="10" spans="2:26" s="1" customFormat="1" ht="15" customHeight="1">
      <c r="B10" s="142" t="s">
        <v>10</v>
      </c>
      <c r="C10" s="103">
        <f>'Data Entry'!C9</f>
        <v>1</v>
      </c>
      <c r="D10" s="112">
        <f>'Data Entry'!D9</f>
        <v>1</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40</v>
      </c>
      <c r="U10" s="1" t="e">
        <f>Hispanic!L9</f>
        <v>#VALUE!</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15</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13</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28</v>
      </c>
      <c r="D14" s="112">
        <f>'Data Entry'!D13</f>
        <v>4</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1</v>
      </c>
      <c r="O14" s="113" t="str">
        <f>'Other - Mixed'!G13</f>
        <v>*</v>
      </c>
      <c r="P14" s="114">
        <f>'Data Entry'!J13</f>
        <v>5</v>
      </c>
      <c r="Q14" s="115" t="str">
        <f>'All Minorities'!G13</f>
        <v>**</v>
      </c>
      <c r="R14"/>
      <c r="T14" s="1">
        <f>'Black or African-American'!L13</f>
        <v>40</v>
      </c>
      <c r="U14" s="1" t="e">
        <f>Hispanic!L13</f>
        <v>#VALUE!</v>
      </c>
      <c r="V14" s="1" t="e">
        <f>Asian!L13</f>
        <v>#VALUE!</v>
      </c>
      <c r="W14" s="1" t="e">
        <f>Hawaiian!L13</f>
        <v>#VALUE!</v>
      </c>
      <c r="X14" s="1" t="e">
        <f>'Am Indian'!L13</f>
        <v>#VALUE!</v>
      </c>
      <c r="Y14" s="1" t="e">
        <f>'Other - Mixed'!L13</f>
        <v>#DIV/0!</v>
      </c>
      <c r="Z14" s="1">
        <f>'All Minorities'!L13</f>
        <v>40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Crawford</v>
      </c>
    </row>
    <row r="6" spans="1:12">
      <c r="A6" s="135" t="str">
        <f>CONCATENATE("Percentage of Minorities at Stages of the Juvenile Justice System, ", A5, " 2024")</f>
        <v>Percentage of Minorities at Stages of the Juvenile Justice System, County: Crawford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8.7478260869565219</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8.7478260869565219</v>
      </c>
    </row>
    <row r="9" spans="1:12">
      <c r="A9" s="128" t="str">
        <f>CONCATENATE("Delinquent Findings, total N=", 'Data Entry'!B12)</f>
        <v>Delinquent Findings, total N=14</v>
      </c>
      <c r="B9" s="150">
        <f>'Data Entry'!D12/'Data Entry'!B12</f>
        <v>7.1428571428571425E-2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0.9285714285714286</v>
      </c>
      <c r="K9" s="96" t="str">
        <f t="shared" si="0"/>
        <v>Delinquent Findings, total N=14</v>
      </c>
      <c r="L9">
        <f>I14/(SUM(B14:G14))</f>
        <v>8.7478260869565219</v>
      </c>
    </row>
    <row r="10" spans="1:12">
      <c r="A10" s="128" t="str">
        <f>CONCATENATE("Petitions, total N=", 'Data Entry'!B11)</f>
        <v>Petitions, total N=16</v>
      </c>
      <c r="B10" s="150">
        <f>'Data Entry'!D11/'Data Entry'!B11</f>
        <v>6.25E-2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0.9375</v>
      </c>
      <c r="K10" s="96" t="str">
        <f t="shared" si="0"/>
        <v>Petitions, total N=16</v>
      </c>
      <c r="L10">
        <f>I14/(SUM(B14:G14))</f>
        <v>8.7478260869565219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8.7478260869565219</v>
      </c>
    </row>
    <row r="12" spans="1:12">
      <c r="A12" s="128" t="str">
        <f>CONCATENATE("Referrals, total N=", 'Data Entry'!B8)</f>
        <v>Referrals, total N=35</v>
      </c>
      <c r="B12" s="150">
        <f>'Data Entry'!D8/'Data Entry'!B8</f>
        <v>0.14285714285714285</v>
      </c>
      <c r="C12" s="150">
        <f>'Data Entry'!E8/'Data Entry'!B8</f>
        <v>0</v>
      </c>
      <c r="D12" s="150">
        <f>'Data Entry'!F8/'Data Entry'!B8</f>
        <v>0</v>
      </c>
      <c r="E12" s="150">
        <f>'Data Entry'!G8/'Data Entry'!B8</f>
        <v>0</v>
      </c>
      <c r="F12" s="150">
        <f>'Data Entry'!H8/'Data Entry'!B8</f>
        <v>0</v>
      </c>
      <c r="G12" s="150">
        <f>'Data Entry'!I8/'Data Entry'!B8</f>
        <v>2.8571428571428571E-2</v>
      </c>
      <c r="H12" s="150">
        <f>SUM(D12:G12)/'Data Entry'!B8</f>
        <v>8.1632653061224482E-4</v>
      </c>
      <c r="I12" s="150">
        <f>'Data Entry'!C8/'Data Entry'!B8</f>
        <v>0.82857142857142863</v>
      </c>
      <c r="K12" s="96" t="str">
        <f t="shared" si="0"/>
        <v>Referrals, total N=35</v>
      </c>
      <c r="L12">
        <f>I14/(SUM(B14:G14))</f>
        <v>8.7478260869565219</v>
      </c>
    </row>
    <row r="13" spans="1:12">
      <c r="A13" s="128" t="str">
        <f>CONCATENATE("Arrests, total N=", 'Data Entry'!B7)</f>
        <v>Arrests, total N=22</v>
      </c>
      <c r="B13" s="150">
        <f>'Data Entry'!D7/'Data Entry'!B7</f>
        <v>0.40909090909090912</v>
      </c>
      <c r="C13" s="150">
        <f>'Data Entry'!E7/'Data Entry'!B7</f>
        <v>0</v>
      </c>
      <c r="D13" s="150">
        <f>'Data Entry'!F7/'Data Entry'!B7</f>
        <v>0</v>
      </c>
      <c r="E13" s="150">
        <f>'Data Entry'!G7/'Data Entry'!B7</f>
        <v>0</v>
      </c>
      <c r="F13" s="150">
        <f>'Data Entry'!H7/'Data Entry'!B7</f>
        <v>4.5454545454545456E-2</v>
      </c>
      <c r="G13" s="150">
        <f>'Data Entry'!I7/'Data Entry'!B7</f>
        <v>0</v>
      </c>
      <c r="H13" s="150">
        <f>SUM(D13:G13)/'Data Entry'!B7</f>
        <v>2.0661157024793389E-3</v>
      </c>
      <c r="I13" s="150">
        <f>'Data Entry'!C7/'Data Entry'!B7</f>
        <v>0.5</v>
      </c>
      <c r="K13" s="96" t="str">
        <f t="shared" si="0"/>
        <v>Arrests, total N=22</v>
      </c>
      <c r="L13">
        <f>I14/(SUM(B14:G14))</f>
        <v>8.7478260869565219</v>
      </c>
    </row>
    <row r="14" spans="1:12">
      <c r="A14" s="128" t="str">
        <f>CONCATENATE("Population, total N=", 'Data Entry'!B6)</f>
        <v>Population, total N=1121</v>
      </c>
      <c r="B14" s="150">
        <f>'Data Entry'!D6/'Data Entry'!B6</f>
        <v>2.6761819803746655E-2</v>
      </c>
      <c r="C14" s="150">
        <f>'Data Entry'!E6/'Data Entry'!B6</f>
        <v>5.352363960749331E-2</v>
      </c>
      <c r="D14" s="150">
        <f>'Data Entry'!F6/'Data Entry'!B6</f>
        <v>8.9206066012488851E-3</v>
      </c>
      <c r="E14" s="150">
        <f>'Data Entry'!G6/'Data Entry'!B6</f>
        <v>0</v>
      </c>
      <c r="F14" s="150">
        <f>'Data Entry'!H6/'Data Entry'!B6</f>
        <v>1.3380909901873328E-2</v>
      </c>
      <c r="G14" s="150">
        <f>'Data Entry'!I6/'Data Entry'!B6</f>
        <v>0</v>
      </c>
      <c r="H14" s="150">
        <f>SUM(D14:G14)/'Data Entry'!B6</f>
        <v>1.9894305533561294E-5</v>
      </c>
      <c r="I14" s="150">
        <f>'Data Entry'!C6/'Data Entry'!B6</f>
        <v>0.89741302408563783</v>
      </c>
      <c r="K14" s="96" t="str">
        <f t="shared" si="0"/>
        <v>Population, total N=1121</v>
      </c>
      <c r="L14">
        <f>I14/(SUM(B14:G14))</f>
        <v>8.7478260869565219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Crawford</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1006</v>
      </c>
      <c r="D7" s="104">
        <f>'Data Entry'!D6</f>
        <v>30</v>
      </c>
      <c r="E7" s="105"/>
      <c r="F7" s="106">
        <f>'Data Entry'!E6</f>
        <v>60</v>
      </c>
      <c r="G7" s="105"/>
      <c r="H7" s="106">
        <f>'Data Entry'!F6</f>
        <v>10</v>
      </c>
      <c r="I7" s="105"/>
      <c r="J7" s="106">
        <f>'Data Entry'!J6</f>
        <v>115</v>
      </c>
      <c r="K7" s="107"/>
    </row>
    <row r="8" spans="2:30" s="1" customFormat="1" ht="15" customHeight="1">
      <c r="B8" s="121" t="s">
        <v>8</v>
      </c>
      <c r="C8" s="103">
        <f>'Data Entry'!C7</f>
        <v>11</v>
      </c>
      <c r="D8" s="104">
        <f>'Data Entry'!D7</f>
        <v>9</v>
      </c>
      <c r="E8" s="105" t="str">
        <f>'Black or African-American'!$G7</f>
        <v>**</v>
      </c>
      <c r="F8" s="106">
        <f>'Data Entry'!E7</f>
        <v>0</v>
      </c>
      <c r="G8" s="105" t="str">
        <f>Hispanic!G7</f>
        <v>**</v>
      </c>
      <c r="H8" s="106">
        <f>'Data Entry'!F7</f>
        <v>0</v>
      </c>
      <c r="I8" s="105" t="str">
        <f>Asian!G7</f>
        <v>*</v>
      </c>
      <c r="J8" s="106">
        <f>'Data Entry'!J7</f>
        <v>10</v>
      </c>
      <c r="K8" s="107">
        <f>'All Minorities'!G7</f>
        <v>7.9525691699604746</v>
      </c>
      <c r="L8"/>
      <c r="N8" s="1">
        <f>'Black or African-American'!L7</f>
        <v>20</v>
      </c>
      <c r="O8" s="1">
        <f>Hispanic!L7</f>
        <v>40</v>
      </c>
      <c r="P8" s="1">
        <f>Asian!L7</f>
        <v>139</v>
      </c>
      <c r="Q8" s="1" t="e">
        <f>Hawaiian!L7</f>
        <v>#VALUE!</v>
      </c>
      <c r="R8" s="1">
        <f>'Am Indian'!L7</f>
        <v>20</v>
      </c>
      <c r="S8" s="1" t="e">
        <f>'Other - Mixed'!L7</f>
        <v>#VALUE!</v>
      </c>
      <c r="T8" s="1">
        <f>'All Minorities'!L7</f>
        <v>1</v>
      </c>
    </row>
    <row r="9" spans="2:30" s="1" customFormat="1" ht="15" customHeight="1">
      <c r="B9" s="121" t="s">
        <v>134</v>
      </c>
      <c r="C9" s="103">
        <f>'Data Entry'!C8</f>
        <v>29</v>
      </c>
      <c r="D9" s="108">
        <f>'Data Entry'!D8</f>
        <v>5</v>
      </c>
      <c r="E9" s="109" t="str">
        <f>'Black or African-American'!$G8</f>
        <v>**</v>
      </c>
      <c r="F9" s="110">
        <f>'Data Entry'!E8</f>
        <v>0</v>
      </c>
      <c r="G9" s="109" t="str">
        <f>Hispanic!G8</f>
        <v>**</v>
      </c>
      <c r="H9" s="110">
        <f>'Data Entry'!F8</f>
        <v>0</v>
      </c>
      <c r="I9" s="109" t="str">
        <f>Asian!G8</f>
        <v>*</v>
      </c>
      <c r="J9" s="110">
        <f>'Data Entry'!J8</f>
        <v>6</v>
      </c>
      <c r="K9" s="111" t="str">
        <f>'All Minorities'!G8</f>
        <v>**</v>
      </c>
      <c r="L9"/>
      <c r="N9" s="1">
        <f>'Black or African-American'!L8</f>
        <v>20</v>
      </c>
      <c r="O9" s="1">
        <f>Hispanic!L8</f>
        <v>40</v>
      </c>
      <c r="P9" s="1">
        <f>Asian!L8</f>
        <v>139</v>
      </c>
      <c r="Q9" s="1">
        <f>Hawaiian!L8</f>
        <v>139</v>
      </c>
      <c r="R9" s="1">
        <f>'Am Indian'!L8</f>
        <v>40</v>
      </c>
      <c r="S9" s="1">
        <f>'Other - Mixed'!L8</f>
        <v>139</v>
      </c>
      <c r="T9" s="1">
        <f>'All Minorities'!L8</f>
        <v>20</v>
      </c>
    </row>
    <row r="10" spans="2:30" s="1" customFormat="1" ht="15" customHeight="1">
      <c r="B10" s="121" t="s">
        <v>10</v>
      </c>
      <c r="C10" s="103">
        <f>'Data Entry'!C9</f>
        <v>1</v>
      </c>
      <c r="D10" s="112">
        <f>'Data Entry'!D9</f>
        <v>1</v>
      </c>
      <c r="E10" s="113" t="str">
        <f>'Black or African-American'!$G9</f>
        <v>**</v>
      </c>
      <c r="F10" s="114">
        <f>'Data Entry'!E9</f>
        <v>0</v>
      </c>
      <c r="G10" s="113" t="str">
        <f>Hispanic!G9</f>
        <v>--</v>
      </c>
      <c r="H10" s="114">
        <f>'Data Entry'!F9</f>
        <v>0</v>
      </c>
      <c r="I10" s="113" t="str">
        <f>Asian!G9</f>
        <v>*</v>
      </c>
      <c r="J10" s="114">
        <f>'Data Entry'!J9</f>
        <v>1</v>
      </c>
      <c r="K10" s="115" t="str">
        <f>'All Minorities'!G9</f>
        <v>**</v>
      </c>
      <c r="L10"/>
      <c r="N10" s="1">
        <f>'Black or African-American'!L9</f>
        <v>40</v>
      </c>
      <c r="O10" s="1" t="e">
        <f>Hispanic!L9</f>
        <v>#VALUE!</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15</v>
      </c>
      <c r="D12" s="112">
        <f>'Data Entry'!D11</f>
        <v>1</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13</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28</v>
      </c>
      <c r="D14" s="112">
        <f>'Data Entry'!D13</f>
        <v>4</v>
      </c>
      <c r="E14" s="113" t="str">
        <f>'Black or African-American'!$G13</f>
        <v>**</v>
      </c>
      <c r="F14" s="114">
        <f>'Data Entry'!E13</f>
        <v>0</v>
      </c>
      <c r="G14" s="113" t="str">
        <f>Hispanic!G13</f>
        <v>--</v>
      </c>
      <c r="H14" s="114">
        <f>'Data Entry'!F13</f>
        <v>0</v>
      </c>
      <c r="I14" s="113" t="str">
        <f>Asian!G13</f>
        <v>*</v>
      </c>
      <c r="J14" s="114">
        <f>'Data Entry'!J13</f>
        <v>5</v>
      </c>
      <c r="K14" s="115" t="str">
        <f>'All Minorities'!G13</f>
        <v>**</v>
      </c>
      <c r="L14"/>
      <c r="N14" s="1">
        <f>'Black or African-American'!L13</f>
        <v>40</v>
      </c>
      <c r="O14" s="1" t="e">
        <f>Hispanic!L13</f>
        <v>#VALUE!</v>
      </c>
      <c r="P14" s="1" t="e">
        <f>Asian!L13</f>
        <v>#VALUE!</v>
      </c>
      <c r="Q14" s="1" t="e">
        <f>Hawaiian!L13</f>
        <v>#VALUE!</v>
      </c>
      <c r="R14" s="1" t="e">
        <f>'Am Indian'!L13</f>
        <v>#VALUE!</v>
      </c>
      <c r="S14" s="1" t="e">
        <f>'Other - Mixed'!L13</f>
        <v>#DIV/0!</v>
      </c>
      <c r="T14" s="1">
        <f>'All Minorities'!L13</f>
        <v>40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1006</v>
      </c>
      <c r="D6" s="34"/>
      <c r="E6" s="33">
        <f>'Data Entry'!D6</f>
        <v>30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10.934393638170974</v>
      </c>
      <c r="E7" s="33">
        <f>'Data Entry'!D7</f>
        <v>9</v>
      </c>
      <c r="F7" s="34">
        <f>IF((AND($E$7&gt;0,$D$66&gt;0)),($E$7/$D$66),0)</f>
        <v>300</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9</v>
      </c>
      <c r="O7" s="42">
        <f>E6-E7</f>
        <v>21</v>
      </c>
      <c r="P7" s="42">
        <f t="shared" ref="P7:P15" si="2">C7</f>
        <v>11</v>
      </c>
      <c r="Q7" s="42">
        <f>C6-C7</f>
        <v>995</v>
      </c>
      <c r="R7" s="42">
        <f t="shared" ref="R7:R15" si="3">SUM(N7:Q7)</f>
        <v>1036</v>
      </c>
      <c r="S7" s="30">
        <f t="shared" ref="S7:S15" si="4">R7*((((N7*Q7)-(O7*P7))^2))</f>
        <v>78848070336</v>
      </c>
      <c r="T7" s="30">
        <f t="shared" ref="T7:T15" si="5">(N7+O7)*(P7+Q7)*(N7+P7)*(O7+Q7)</f>
        <v>613257600</v>
      </c>
      <c r="U7" s="31">
        <f t="shared" ref="U7:U15" si="6">IF((S7&gt;0),S7/T7,"- -")</f>
        <v>128.57251232760916</v>
      </c>
    </row>
    <row r="8" spans="2:21" ht="18" customHeight="1">
      <c r="B8" s="32" t="str">
        <f>'Data Entry'!A8</f>
        <v>3. Refer to Juvenile Court</v>
      </c>
      <c r="C8" s="33">
        <f>'Data Entry'!C8</f>
        <v>29</v>
      </c>
      <c r="D8" s="34">
        <f>IF((AND(C67&gt;0,C8&gt;0)),(C8/C67),0)</f>
        <v>263.63636363636363</v>
      </c>
      <c r="E8" s="33">
        <f>'Data Entry'!D8</f>
        <v>5</v>
      </c>
      <c r="F8" s="34">
        <f>IF((AND($E$8&gt;0,$D$67&gt;0)),($E8/$D67),0)</f>
        <v>55.555555555555557</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5</v>
      </c>
      <c r="O8" s="42">
        <f>((D67*L67)-E8)+0.05</f>
        <v>4.05</v>
      </c>
      <c r="P8" s="42">
        <f t="shared" si="2"/>
        <v>29</v>
      </c>
      <c r="Q8" s="42">
        <f>(C$67*L67)-C8</f>
        <v>-18</v>
      </c>
      <c r="R8" s="42">
        <f t="shared" si="3"/>
        <v>20.049999999999997</v>
      </c>
      <c r="S8" s="30">
        <f t="shared" si="4"/>
        <v>862861.82512499974</v>
      </c>
      <c r="T8" s="30">
        <f t="shared" si="5"/>
        <v>-47216.565000000002</v>
      </c>
      <c r="U8" s="31">
        <f t="shared" si="6"/>
        <v>-18.274557353441523</v>
      </c>
    </row>
    <row r="9" spans="2:21" ht="18" customHeight="1">
      <c r="B9" s="32" t="str">
        <f>'Data Entry'!A9</f>
        <v xml:space="preserve">4. Cases Diverted </v>
      </c>
      <c r="C9" s="33">
        <f>'Data Entry'!C9</f>
        <v>1</v>
      </c>
      <c r="D9" s="34">
        <f>IF((AND(C68&gt;0,C9&gt;0)),((C9/C68)),0)</f>
        <v>3.4482758620689657</v>
      </c>
      <c r="E9" s="33">
        <f>'Data Entry'!D9</f>
        <v>1</v>
      </c>
      <c r="F9" s="34">
        <f>IF((AND($E$9&gt;0,$D$68&gt;0)),(($E$9/$D$68)),0)</f>
        <v>20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4</v>
      </c>
      <c r="P9" s="42">
        <f t="shared" si="2"/>
        <v>1</v>
      </c>
      <c r="Q9" s="42">
        <f>(C$68*L68)-C9</f>
        <v>27.999999999999996</v>
      </c>
      <c r="R9" s="42">
        <f t="shared" si="3"/>
        <v>34</v>
      </c>
      <c r="S9" s="30">
        <f t="shared" si="4"/>
        <v>19583.999999999993</v>
      </c>
      <c r="T9" s="30">
        <f t="shared" si="5"/>
        <v>9279.9999999999964</v>
      </c>
      <c r="U9" s="31">
        <f t="shared" si="6"/>
        <v>2.1103448275862071</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5</v>
      </c>
      <c r="P10" s="42">
        <f t="shared" si="2"/>
        <v>0</v>
      </c>
      <c r="Q10" s="42">
        <f>(C$68*L68)-C10</f>
        <v>28.999999999999996</v>
      </c>
      <c r="R10" s="42">
        <f t="shared" si="3"/>
        <v>34</v>
      </c>
      <c r="S10" s="30">
        <f t="shared" si="4"/>
        <v>0</v>
      </c>
      <c r="T10" s="30">
        <f t="shared" si="5"/>
        <v>0</v>
      </c>
      <c r="U10" s="31" t="str">
        <f t="shared" si="6"/>
        <v>- -</v>
      </c>
    </row>
    <row r="11" spans="2:21" ht="18" customHeight="1">
      <c r="B11" s="32" t="str">
        <f>'Data Entry'!A11</f>
        <v>6. Cases Petitioned (Charge Filed)</v>
      </c>
      <c r="C11" s="33">
        <f>'Data Entry'!C11</f>
        <v>15</v>
      </c>
      <c r="D11" s="34">
        <f>IF(((AND(C68&gt;0,C11&gt;0))),(C11/(C68)),0)</f>
        <v>51.724137931034484</v>
      </c>
      <c r="E11" s="33">
        <f>'Data Entry'!D11</f>
        <v>1</v>
      </c>
      <c r="F11" s="34">
        <f>IF(((AND($E$11&gt;0,$D$68&gt;0))),($E$11/($D$68)),0)</f>
        <v>20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4</v>
      </c>
      <c r="P11" s="42">
        <f t="shared" si="2"/>
        <v>15</v>
      </c>
      <c r="Q11" s="42">
        <f>(C$68*L68)-C11</f>
        <v>13.999999999999996</v>
      </c>
      <c r="R11" s="42">
        <f t="shared" si="3"/>
        <v>34</v>
      </c>
      <c r="S11" s="30">
        <f t="shared" si="4"/>
        <v>71944</v>
      </c>
      <c r="T11" s="30">
        <f t="shared" si="5"/>
        <v>41759.999999999985</v>
      </c>
      <c r="U11" s="31">
        <f t="shared" si="6"/>
        <v>1.7227969348659009</v>
      </c>
    </row>
    <row r="12" spans="2:21" ht="18" customHeight="1">
      <c r="B12" s="32" t="str">
        <f>'Data Entry'!A12</f>
        <v>7. Cases Resulting in Delinquent Findings</v>
      </c>
      <c r="C12" s="33">
        <f>'Data Entry'!C12</f>
        <v>13</v>
      </c>
      <c r="D12" s="34">
        <f>IF(((AND(C69&gt;0,C12&gt;0))),(C12/(C69)),0)</f>
        <v>86.666666666666671</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13</v>
      </c>
      <c r="Q12" s="42">
        <f>(C69*L69)-C12</f>
        <v>2</v>
      </c>
      <c r="R12" s="42">
        <f t="shared" si="3"/>
        <v>16</v>
      </c>
      <c r="S12" s="30">
        <f t="shared" si="4"/>
        <v>64</v>
      </c>
      <c r="T12" s="30">
        <f t="shared" si="5"/>
        <v>420</v>
      </c>
      <c r="U12" s="31">
        <f t="shared" si="6"/>
        <v>0.15238095238095239</v>
      </c>
    </row>
    <row r="13" spans="2:21" ht="18" customHeight="1">
      <c r="B13" s="32" t="str">
        <f>'Data Entry'!A13</f>
        <v>8. Cases Resulting in Probation Placement</v>
      </c>
      <c r="C13" s="33">
        <f>'Data Entry'!C13</f>
        <v>28</v>
      </c>
      <c r="D13" s="34">
        <f>IF(((AND(C70&gt;0,C13&gt;0))),(C13/(C70)),0)</f>
        <v>215.38461538461539</v>
      </c>
      <c r="E13" s="33">
        <f>'Data Entry'!D13</f>
        <v>4</v>
      </c>
      <c r="F13" s="34">
        <f>IF(((AND($D$70&gt;0,$E$13&gt;0))),($E$13/($D$70)),0)</f>
        <v>400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4</v>
      </c>
      <c r="O13" s="42">
        <f>(D70*L70)-E13</f>
        <v>-3</v>
      </c>
      <c r="P13" s="42">
        <f t="shared" si="2"/>
        <v>28</v>
      </c>
      <c r="Q13" s="42">
        <f>(C70*L70)-C13</f>
        <v>-15</v>
      </c>
      <c r="R13" s="42">
        <f t="shared" si="3"/>
        <v>14</v>
      </c>
      <c r="S13" s="30">
        <f t="shared" si="4"/>
        <v>8064</v>
      </c>
      <c r="T13" s="30">
        <f t="shared" si="5"/>
        <v>-7488</v>
      </c>
      <c r="U13" s="31">
        <f t="shared" si="6"/>
        <v>-1.0769230769230769</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13</v>
      </c>
      <c r="R14" s="42">
        <f t="shared" si="3"/>
        <v>14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15</v>
      </c>
      <c r="R15" s="42">
        <f t="shared" si="3"/>
        <v>16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1.006</v>
      </c>
      <c r="D42" s="56">
        <f>E6/1000</f>
        <v>0.03</v>
      </c>
      <c r="E42" s="56">
        <f>MAX(C42:D42)</f>
        <v>1.006</v>
      </c>
      <c r="G42" s="1" t="str">
        <f>B42</f>
        <v>per 1000 youth</v>
      </c>
      <c r="L42" s="57">
        <v>1000</v>
      </c>
      <c r="M42" s="57"/>
      <c r="R42" s="49"/>
    </row>
    <row r="43" spans="2:18" ht="15" hidden="1" customHeight="1">
      <c r="B43" s="49" t="s">
        <v>87</v>
      </c>
      <c r="C43" s="56">
        <f>C7/100</f>
        <v>0.11</v>
      </c>
      <c r="D43" s="56">
        <f>E7/100</f>
        <v>0.09</v>
      </c>
      <c r="E43" s="56">
        <f>MAX(C43:D43,0)</f>
        <v>0.11</v>
      </c>
      <c r="G43" s="1" t="str">
        <f>B43</f>
        <v>per 100 arrests</v>
      </c>
      <c r="L43" s="57">
        <v>100</v>
      </c>
      <c r="M43" s="57"/>
      <c r="R43" s="49"/>
    </row>
    <row r="44" spans="2:18" ht="15" hidden="1" customHeight="1">
      <c r="B44" s="49" t="s">
        <v>88</v>
      </c>
      <c r="C44" s="56">
        <f>C8/100</f>
        <v>0.28999999999999998</v>
      </c>
      <c r="D44" s="56">
        <f>E8/100</f>
        <v>0.05</v>
      </c>
      <c r="E44" s="56">
        <f>MAX(C44:D44,0)</f>
        <v>0.28999999999999998</v>
      </c>
      <c r="G44" s="1" t="str">
        <f>B44</f>
        <v>per 100 referrals</v>
      </c>
      <c r="L44" s="57">
        <v>100</v>
      </c>
      <c r="M44" s="57"/>
      <c r="R44" s="49"/>
    </row>
    <row r="45" spans="2:18" ht="15" hidden="1" customHeight="1">
      <c r="B45" s="49" t="s">
        <v>89</v>
      </c>
      <c r="C45" s="49">
        <f>C11/100</f>
        <v>0.15</v>
      </c>
      <c r="D45" s="49">
        <f>E11/100</f>
        <v>0.01</v>
      </c>
      <c r="E45" s="56">
        <f>MAX(C45:D45,0)</f>
        <v>0.15</v>
      </c>
      <c r="G45" s="1" t="str">
        <f>B45</f>
        <v>per 100 youth petitioned</v>
      </c>
      <c r="L45" s="57">
        <v>100</v>
      </c>
      <c r="M45" s="57"/>
      <c r="R45" s="49"/>
    </row>
    <row r="46" spans="2:18" ht="15" hidden="1" customHeight="1">
      <c r="B46" s="49" t="s">
        <v>90</v>
      </c>
      <c r="C46" s="49">
        <f>C12/100</f>
        <v>0.13</v>
      </c>
      <c r="D46" s="49">
        <f>E12/100</f>
        <v>0.01</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1.006</v>
      </c>
      <c r="D48" s="56">
        <f>D42</f>
        <v>0.03</v>
      </c>
      <c r="E48" s="56">
        <f>MAX(C48:D48)</f>
        <v>1.006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0.11</v>
      </c>
      <c r="D49" s="49">
        <f t="shared" si="9"/>
        <v>0.09</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0.05</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0.01</v>
      </c>
      <c r="E51" s="49">
        <f>MAX(C51:D51)</f>
        <v>0.15</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0.01</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1.006</v>
      </c>
      <c r="D54" s="56">
        <f>D48</f>
        <v>0.03</v>
      </c>
      <c r="E54" s="56">
        <f>MAX(C54:D54)</f>
        <v>1.006</v>
      </c>
      <c r="G54" s="1" t="str">
        <f>G48</f>
        <v>per 1000 youth</v>
      </c>
      <c r="L54" s="58">
        <f>L48</f>
        <v>1000</v>
      </c>
      <c r="M54" s="58"/>
    </row>
    <row r="55" spans="2:18" ht="15" hidden="1" customHeight="1">
      <c r="B55" s="49" t="str">
        <f t="shared" ref="B55:D56" si="10">IF(($E49&gt;0),B49,B48)</f>
        <v>per 100 arrests</v>
      </c>
      <c r="C55" s="49">
        <f t="shared" si="10"/>
        <v>0.11</v>
      </c>
      <c r="D55" s="49">
        <f t="shared" si="10"/>
        <v>0.09</v>
      </c>
      <c r="E55" s="49">
        <f>MAX(C55:D55)</f>
        <v>0.11</v>
      </c>
      <c r="G55" s="1" t="str">
        <f>G49</f>
        <v>per 100 arrests</v>
      </c>
      <c r="L55" s="58">
        <f>IF(($E49&gt;0),L49,L48)</f>
        <v>100</v>
      </c>
      <c r="M55" s="58"/>
    </row>
    <row r="56" spans="2:18" ht="15" hidden="1" customHeight="1">
      <c r="B56" s="49" t="str">
        <f t="shared" si="10"/>
        <v>per 100 referrals</v>
      </c>
      <c r="C56" s="49">
        <f t="shared" si="10"/>
        <v>0.28999999999999998</v>
      </c>
      <c r="D56" s="49">
        <f t="shared" si="10"/>
        <v>0.05</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0.15</v>
      </c>
      <c r="D57" s="49">
        <f>IF(($E51&gt;0),D51,D50)</f>
        <v>0.01</v>
      </c>
      <c r="E57" s="49">
        <f>MAX(C57:D57)</f>
        <v>0.15</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0.01</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1.006</v>
      </c>
      <c r="D60" s="56">
        <f>D54</f>
        <v>0.03</v>
      </c>
      <c r="E60" s="56">
        <f>MAX(C60:D60)</f>
        <v>1.006</v>
      </c>
      <c r="G60" s="1" t="str">
        <f>G54</f>
        <v>per 1000 youth</v>
      </c>
      <c r="L60" s="58">
        <f>L54</f>
        <v>1000</v>
      </c>
      <c r="M60" s="58"/>
    </row>
    <row r="61" spans="2:18" ht="15" hidden="1" customHeight="1">
      <c r="B61" s="49" t="str">
        <f t="shared" ref="B61:D62" si="11">IF(($E55&gt;0),B55,B54)</f>
        <v>per 100 arrests</v>
      </c>
      <c r="C61" s="49">
        <f t="shared" si="11"/>
        <v>0.11</v>
      </c>
      <c r="D61" s="49">
        <f t="shared" si="11"/>
        <v>0.09</v>
      </c>
      <c r="E61" s="49">
        <f>MAX(C61:D61)</f>
        <v>0.11</v>
      </c>
      <c r="G61" s="1" t="str">
        <f>G55</f>
        <v>per 100 arrests</v>
      </c>
      <c r="L61" s="58">
        <f>IF(($E55&gt;0),L55,L54)</f>
        <v>100</v>
      </c>
      <c r="M61" s="58"/>
    </row>
    <row r="62" spans="2:18" ht="15" hidden="1" customHeight="1">
      <c r="B62" s="49" t="str">
        <f t="shared" si="11"/>
        <v>per 100 referrals</v>
      </c>
      <c r="C62" s="49">
        <f t="shared" si="11"/>
        <v>0.28999999999999998</v>
      </c>
      <c r="D62" s="49">
        <f t="shared" si="11"/>
        <v>0.05</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0.15</v>
      </c>
      <c r="D63" s="49">
        <f>IF(($E57&gt;0),D57,D56)</f>
        <v>0.01</v>
      </c>
      <c r="E63" s="49">
        <f>MAX(C63:D63)</f>
        <v>0.15</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0.01</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1.006</v>
      </c>
      <c r="D66" s="56">
        <f>D60</f>
        <v>0.03</v>
      </c>
      <c r="E66" s="56">
        <f>MAX(C66:D66)</f>
        <v>1.006</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0.09</v>
      </c>
      <c r="E67" s="49">
        <f>MAX(C67:D67)</f>
        <v>0.11</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0.05</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0.01</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0.01</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1006</v>
      </c>
      <c r="D6" s="34"/>
      <c r="E6" s="33">
        <f>'Data Entry'!F6</f>
        <v>10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10.934393638170974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11</v>
      </c>
      <c r="Q7" s="42">
        <f>C6-C7</f>
        <v>995</v>
      </c>
      <c r="R7" s="42">
        <f t="shared" ref="R7:R15" si="5">SUM(N7:Q7)</f>
        <v>1016</v>
      </c>
      <c r="S7" s="30">
        <f t="shared" ref="S7:S15" si="6">R7*((((N7*Q7)-(O7*P7))^2))</f>
        <v>12293600</v>
      </c>
      <c r="T7" s="30">
        <f t="shared" ref="T7:T15" si="7">(N7+O7)*(P7+Q7)*(N7+P7)*(O7+Q7)</f>
        <v>111213300</v>
      </c>
      <c r="U7" s="31">
        <f t="shared" ref="U7:U15" si="8">IF((S7&gt;0),S7/T7,"- -")</f>
        <v>0.11054073568539015</v>
      </c>
    </row>
    <row r="8" spans="2:21" ht="18" customHeight="1">
      <c r="B8" s="32" t="str">
        <f>'Data Entry'!A8</f>
        <v>3. Refer to Juvenile Court</v>
      </c>
      <c r="C8" s="33">
        <f>'Data Entry'!C8</f>
        <v>29</v>
      </c>
      <c r="D8" s="34">
        <f>IF((AND(C67&gt;0,C8&gt;0)),(C8/C67),0)</f>
        <v>263.63636363636363</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29</v>
      </c>
      <c r="Q8" s="42">
        <f>(C$67*L67)-C8</f>
        <v>-18</v>
      </c>
      <c r="R8" s="42">
        <f t="shared" si="5"/>
        <v>11.05</v>
      </c>
      <c r="S8" s="30">
        <f t="shared" si="6"/>
        <v>23.232625000000006</v>
      </c>
      <c r="T8" s="30">
        <f t="shared" si="7"/>
        <v>-286.30250000000001</v>
      </c>
      <c r="U8" s="31">
        <f t="shared" si="8"/>
        <v>-8.1147125854646771E-2</v>
      </c>
    </row>
    <row r="9" spans="2:21" ht="18" customHeight="1">
      <c r="B9" s="32" t="str">
        <f>'Data Entry'!A9</f>
        <v xml:space="preserve">4. Cases Diverted </v>
      </c>
      <c r="C9" s="33">
        <f>'Data Entry'!C9</f>
        <v>1</v>
      </c>
      <c r="D9" s="34">
        <f>IF((AND(C68&gt;0,C9&gt;0)),((C9/C68)),0)</f>
        <v>3.4482758620689657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51.724137931034484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13.999999999999996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86.666666666666671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215.38461538461539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-15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1.006</v>
      </c>
      <c r="D42" s="56">
        <f>E6/1000</f>
        <v>0.01</v>
      </c>
      <c r="E42" s="56">
        <f>MAX(C42:D42)</f>
        <v>1.006</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1.006</v>
      </c>
      <c r="D48" s="56">
        <f>D42</f>
        <v>0.01</v>
      </c>
      <c r="E48" s="56">
        <f>MAX(C48:D48)</f>
        <v>1.006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1.006</v>
      </c>
      <c r="D54" s="56">
        <f>D48</f>
        <v>0.01</v>
      </c>
      <c r="E54" s="56">
        <f>MAX(C54:D54)</f>
        <v>1.006</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1.006</v>
      </c>
      <c r="D60" s="56">
        <f>D54</f>
        <v>0.01</v>
      </c>
      <c r="E60" s="56">
        <f>MAX(C60:D60)</f>
        <v>1.006</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1.006</v>
      </c>
      <c r="D66" s="56">
        <f>D60</f>
        <v>0.01</v>
      </c>
      <c r="E66" s="56">
        <f>MAX(C66:D66)</f>
        <v>1.006</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1006</v>
      </c>
      <c r="D6" s="34"/>
      <c r="E6" s="33">
        <f>'Data Entry'!E6</f>
        <v>60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10.934393638170974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60</v>
      </c>
      <c r="P7" s="42">
        <f t="shared" ref="P7:P15" si="4">C7</f>
        <v>11</v>
      </c>
      <c r="Q7" s="42">
        <f>C6-C7</f>
        <v>995</v>
      </c>
      <c r="R7" s="42">
        <f t="shared" ref="R7:R15" si="5">SUM(N7:Q7)</f>
        <v>1066</v>
      </c>
      <c r="S7" s="30">
        <f t="shared" ref="S7:S15" si="6">R7*((((N7*Q7)-(O7*P7))^2))</f>
        <v>464349600</v>
      </c>
      <c r="T7" s="30">
        <f t="shared" ref="T7:T15" si="7">(N7+O7)*(P7+Q7)*(N7+P7)*(O7+Q7)</f>
        <v>700477800</v>
      </c>
      <c r="U7" s="31">
        <f t="shared" ref="U7:U15" si="8">IF((S7&gt;0),S7/T7,"- -")</f>
        <v>0.66290409203546496</v>
      </c>
    </row>
    <row r="8" spans="2:21" ht="18" customHeight="1">
      <c r="B8" s="32" t="str">
        <f>'Data Entry'!A8</f>
        <v>3. Refer to Juvenile Court</v>
      </c>
      <c r="C8" s="33">
        <f>'Data Entry'!C8</f>
        <v>29</v>
      </c>
      <c r="D8" s="34">
        <f>IF((AND(C67&gt;0,C8&gt;0)),(C8/C67),0)</f>
        <v>263.63636363636363</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29</v>
      </c>
      <c r="Q8" s="42">
        <f>(C$67*L67)-C8</f>
        <v>-18</v>
      </c>
      <c r="R8" s="42">
        <f t="shared" si="5"/>
        <v>11.05</v>
      </c>
      <c r="S8" s="30">
        <f t="shared" si="6"/>
        <v>23.232625000000006</v>
      </c>
      <c r="T8" s="30">
        <f t="shared" si="7"/>
        <v>-286.30250000000001</v>
      </c>
      <c r="U8" s="31">
        <f t="shared" si="8"/>
        <v>-8.1147125854646771E-2</v>
      </c>
    </row>
    <row r="9" spans="2:21" ht="18" customHeight="1">
      <c r="B9" s="32" t="str">
        <f>'Data Entry'!A9</f>
        <v xml:space="preserve">4. Cases Diverted </v>
      </c>
      <c r="C9" s="33">
        <f>'Data Entry'!C9</f>
        <v>1</v>
      </c>
      <c r="D9" s="34">
        <f>IF((AND(C68&gt;0,C9&gt;0)),((C9/C68)),0)</f>
        <v>3.4482758620689657</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51.724137931034484</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13.999999999999996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86.666666666666671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215.38461538461539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-15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1.006</v>
      </c>
      <c r="D42" s="56">
        <f>E6/1000</f>
        <v>0.06</v>
      </c>
      <c r="E42" s="56">
        <f>MAX(C42:D42)</f>
        <v>1.006</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1.006</v>
      </c>
      <c r="D48" s="56">
        <f>D42</f>
        <v>0.06</v>
      </c>
      <c r="E48" s="56">
        <f>MAX(C48:D48)</f>
        <v>1.006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1.006</v>
      </c>
      <c r="D54" s="56">
        <f>D48</f>
        <v>0.06</v>
      </c>
      <c r="E54" s="56">
        <f>MAX(C54:D54)</f>
        <v>1.006</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1.006</v>
      </c>
      <c r="D60" s="56">
        <f>D54</f>
        <v>0.06</v>
      </c>
      <c r="E60" s="56">
        <f>MAX(C60:D60)</f>
        <v>1.006</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1.006</v>
      </c>
      <c r="D66" s="56">
        <f>D60</f>
        <v>0.06</v>
      </c>
      <c r="E66" s="56">
        <f>MAX(C66:D66)</f>
        <v>1.006</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1006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10.934393638170974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995</v>
      </c>
      <c r="R7" s="42">
        <f t="shared" ref="R7:R15" si="5">SUM(N7:Q7)</f>
        <v>1006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29</v>
      </c>
      <c r="D8" s="34">
        <f>IF((AND(C67&gt;0,C8&gt;0)),(C8/C67),0)</f>
        <v>263.63636363636363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29</v>
      </c>
      <c r="Q8" s="42">
        <f>(C$67*L67)-C8</f>
        <v>-18</v>
      </c>
      <c r="R8" s="42">
        <f t="shared" si="5"/>
        <v>11.05</v>
      </c>
      <c r="S8" s="30">
        <f t="shared" si="6"/>
        <v>23.232625000000006</v>
      </c>
      <c r="T8" s="30">
        <f t="shared" si="7"/>
        <v>-286.30250000000001</v>
      </c>
      <c r="U8" s="31">
        <f t="shared" si="8"/>
        <v>-8.1147125854646771E-2</v>
      </c>
    </row>
    <row r="9" spans="2:21" ht="18" customHeight="1">
      <c r="B9" s="32" t="str">
        <f>'Data Entry'!A9</f>
        <v xml:space="preserve">4. Cases Diverted </v>
      </c>
      <c r="C9" s="33">
        <f>'Data Entry'!C9</f>
        <v>1</v>
      </c>
      <c r="D9" s="34">
        <f>IF((AND(C68&gt;0,C9&gt;0)),((C9/C68)),0)</f>
        <v>3.4482758620689657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51.724137931034484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13.999999999999996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86.666666666666671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215.38461538461539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-15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1.006</v>
      </c>
      <c r="D42" s="56">
        <f>E6/1000</f>
        <v>0</v>
      </c>
      <c r="E42" s="56">
        <f>MAX(C42:D42)</f>
        <v>1.006</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1.006</v>
      </c>
      <c r="D48" s="56">
        <f>D42</f>
        <v>0</v>
      </c>
      <c r="E48" s="56">
        <f>MAX(C48:D48)</f>
        <v>1.006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1.006</v>
      </c>
      <c r="D54" s="56">
        <f>D48</f>
        <v>0</v>
      </c>
      <c r="E54" s="56">
        <f>MAX(C54:D54)</f>
        <v>1.006</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1.006</v>
      </c>
      <c r="D60" s="56">
        <f>D54</f>
        <v>0</v>
      </c>
      <c r="E60" s="56">
        <f>MAX(C60:D60)</f>
        <v>1.006</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1.006</v>
      </c>
      <c r="D66" s="56">
        <f>D60</f>
        <v>0</v>
      </c>
      <c r="E66" s="56">
        <f>MAX(C66:D66)</f>
        <v>1.006</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Crawford</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1006</v>
      </c>
      <c r="D6" s="34"/>
      <c r="E6" s="33">
        <f>'Data Entry'!H6</f>
        <v>15</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10.934393638170974</v>
      </c>
      <c r="E7" s="33">
        <f>'Data Entry'!H7</f>
        <v>1</v>
      </c>
      <c r="F7" s="34">
        <f>IF((AND($E$7&gt;0,$D$66&gt;0)),($E$7/$D$66),0)</f>
        <v>66.666666666666671</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14</v>
      </c>
      <c r="P7" s="42">
        <f t="shared" ref="P7:P15" si="4">C7</f>
        <v>11</v>
      </c>
      <c r="Q7" s="42">
        <f>C6-C7</f>
        <v>995</v>
      </c>
      <c r="R7" s="42">
        <f t="shared" ref="R7:R15" si="5">SUM(N7:Q7)</f>
        <v>1021</v>
      </c>
      <c r="S7" s="30">
        <f t="shared" ref="S7:S15" si="6">R7*((((N7*Q7)-(O7*P7))^2))</f>
        <v>722133901</v>
      </c>
      <c r="T7" s="30">
        <f t="shared" ref="T7:T15" si="7">(N7+O7)*(P7+Q7)*(N7+P7)*(O7+Q7)</f>
        <v>182709720</v>
      </c>
      <c r="U7" s="31">
        <f t="shared" ref="U7:U15" si="8">IF((S7&gt;0),S7/T7,"- -")</f>
        <v>3.9523562347969228</v>
      </c>
    </row>
    <row r="8" spans="2:21" ht="18" customHeight="1">
      <c r="B8" s="32" t="str">
        <f>'Data Entry'!A8</f>
        <v>3. Refer to Juvenile Court</v>
      </c>
      <c r="C8" s="33">
        <f>'Data Entry'!C8</f>
        <v>29</v>
      </c>
      <c r="D8" s="34">
        <f>IF((AND(C67&gt;0,C8&gt;0)),(C8/C67),0)</f>
        <v>263.63636363636363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29</v>
      </c>
      <c r="Q8" s="42">
        <f>(C$67*L67)-C8</f>
        <v>-18</v>
      </c>
      <c r="R8" s="42">
        <f t="shared" si="5"/>
        <v>12.05</v>
      </c>
      <c r="S8" s="30">
        <f t="shared" si="6"/>
        <v>11172.790125000003</v>
      </c>
      <c r="T8" s="30">
        <f t="shared" si="7"/>
        <v>-5677.4025000000001</v>
      </c>
      <c r="U8" s="31">
        <f t="shared" si="8"/>
        <v>-1.9679404666130336</v>
      </c>
    </row>
    <row r="9" spans="2:21" ht="18" customHeight="1">
      <c r="B9" s="32" t="str">
        <f>'Data Entry'!A9</f>
        <v xml:space="preserve">4. Cases Diverted </v>
      </c>
      <c r="C9" s="33">
        <f>'Data Entry'!C9</f>
        <v>1</v>
      </c>
      <c r="D9" s="34">
        <f>IF((AND(C68&gt;0,C9&gt;0)),((C9/C68)),0)</f>
        <v>3.4482758620689657</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27.999999999999996</v>
      </c>
      <c r="R9" s="42">
        <f t="shared" si="5"/>
        <v>28.999999999999996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28.999999999999996</v>
      </c>
      <c r="R10" s="42">
        <f t="shared" si="5"/>
        <v>28.999999999999996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51.724137931034484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13.999999999999996</v>
      </c>
      <c r="R11" s="42">
        <f t="shared" si="5"/>
        <v>28.999999999999996</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86.666666666666671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215.38461538461539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-15</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1.006</v>
      </c>
      <c r="D42" s="56">
        <f>E6/1000</f>
        <v>1.4999999999999999E-2</v>
      </c>
      <c r="E42" s="56">
        <f>MAX(C42:D42)</f>
        <v>1.006</v>
      </c>
      <c r="G42" s="1" t="str">
        <f>B42</f>
        <v>per 1000 youth</v>
      </c>
      <c r="L42" s="57">
        <v>1000</v>
      </c>
      <c r="M42" s="57"/>
      <c r="R42" s="49"/>
    </row>
    <row r="43" spans="2:18" ht="15" hidden="1" customHeight="1">
      <c r="B43" s="49" t="s">
        <v>87</v>
      </c>
      <c r="C43" s="56">
        <f>C7/100</f>
        <v>0.11</v>
      </c>
      <c r="D43" s="56">
        <f>E7/100</f>
        <v>0.01</v>
      </c>
      <c r="E43" s="56">
        <f>MAX(C43:D43,0)</f>
        <v>0.11</v>
      </c>
      <c r="G43" s="1" t="str">
        <f>B43</f>
        <v>per 100 arrests</v>
      </c>
      <c r="L43" s="57">
        <v>100</v>
      </c>
      <c r="M43" s="57"/>
      <c r="R43" s="49"/>
    </row>
    <row r="44" spans="2:18" ht="15" hidden="1" customHeight="1">
      <c r="B44" s="49" t="s">
        <v>88</v>
      </c>
      <c r="C44" s="56">
        <f>C8/100</f>
        <v>0.28999999999999998</v>
      </c>
      <c r="D44" s="56">
        <f>E8/100</f>
        <v>0</v>
      </c>
      <c r="E44" s="56">
        <f>MAX(C44:D44,0)</f>
        <v>0.28999999999999998</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1.006</v>
      </c>
      <c r="D48" s="56">
        <f>D42</f>
        <v>1.4999999999999999E-2</v>
      </c>
      <c r="E48" s="56">
        <f>MAX(C48:D48)</f>
        <v>1.006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0.01</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0.28999999999999998</v>
      </c>
      <c r="D50" s="49">
        <f t="shared" si="9"/>
        <v>0</v>
      </c>
      <c r="E50" s="49">
        <f>MAX(C50:D50)</f>
        <v>0.28999999999999998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1.006</v>
      </c>
      <c r="D54" s="56">
        <f>D48</f>
        <v>1.4999999999999999E-2</v>
      </c>
      <c r="E54" s="56">
        <f>MAX(C54:D54)</f>
        <v>1.006</v>
      </c>
      <c r="G54" s="1" t="str">
        <f>G48</f>
        <v>per 1000 youth</v>
      </c>
      <c r="L54" s="58">
        <f>L48</f>
        <v>1000</v>
      </c>
      <c r="M54" s="58"/>
    </row>
    <row r="55" spans="2:18" ht="15" hidden="1" customHeight="1">
      <c r="B55" s="49" t="str">
        <f t="shared" ref="B55:D56" si="10">IF(($E49&gt;0),B49,B48)</f>
        <v>per 100 arrests</v>
      </c>
      <c r="C55" s="49">
        <f t="shared" si="10"/>
        <v>0.11</v>
      </c>
      <c r="D55" s="49">
        <f t="shared" si="10"/>
        <v>0.01</v>
      </c>
      <c r="E55" s="49">
        <f>MAX(C55:D55)</f>
        <v>0.11</v>
      </c>
      <c r="G55" s="1" t="str">
        <f>G49</f>
        <v>per 100 arrests</v>
      </c>
      <c r="L55" s="58">
        <f>IF(($E49&gt;0),L49,L48)</f>
        <v>100</v>
      </c>
      <c r="M55" s="58"/>
    </row>
    <row r="56" spans="2:18" ht="15" hidden="1" customHeight="1">
      <c r="B56" s="49" t="str">
        <f t="shared" si="10"/>
        <v>per 100 referrals</v>
      </c>
      <c r="C56" s="49">
        <f t="shared" si="10"/>
        <v>0.28999999999999998</v>
      </c>
      <c r="D56" s="49">
        <f t="shared" si="10"/>
        <v>0</v>
      </c>
      <c r="E56" s="49">
        <f>MAX(C56:D56)</f>
        <v>0.28999999999999998</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1.006</v>
      </c>
      <c r="D60" s="56">
        <f>D54</f>
        <v>1.4999999999999999E-2</v>
      </c>
      <c r="E60" s="56">
        <f>MAX(C60:D60)</f>
        <v>1.006</v>
      </c>
      <c r="G60" s="1" t="str">
        <f>G54</f>
        <v>per 1000 youth</v>
      </c>
      <c r="L60" s="58">
        <f>L54</f>
        <v>1000</v>
      </c>
      <c r="M60" s="58"/>
    </row>
    <row r="61" spans="2:18" ht="15" hidden="1" customHeight="1">
      <c r="B61" s="49" t="str">
        <f t="shared" ref="B61:D62" si="11">IF(($E55&gt;0),B55,B54)</f>
        <v>per 100 arrests</v>
      </c>
      <c r="C61" s="49">
        <f t="shared" si="11"/>
        <v>0.11</v>
      </c>
      <c r="D61" s="49">
        <f t="shared" si="11"/>
        <v>0.01</v>
      </c>
      <c r="E61" s="49">
        <f>MAX(C61:D61)</f>
        <v>0.11</v>
      </c>
      <c r="G61" s="1" t="str">
        <f>G55</f>
        <v>per 100 arrests</v>
      </c>
      <c r="L61" s="58">
        <f>IF(($E55&gt;0),L55,L54)</f>
        <v>100</v>
      </c>
      <c r="M61" s="58"/>
    </row>
    <row r="62" spans="2:18" ht="15" hidden="1" customHeight="1">
      <c r="B62" s="49" t="str">
        <f t="shared" si="11"/>
        <v>per 100 referrals</v>
      </c>
      <c r="C62" s="49">
        <f t="shared" si="11"/>
        <v>0.28999999999999998</v>
      </c>
      <c r="D62" s="49">
        <f t="shared" si="11"/>
        <v>0</v>
      </c>
      <c r="E62" s="49">
        <f>MAX(C62:D62)</f>
        <v>0.28999999999999998</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1.006</v>
      </c>
      <c r="D66" s="56">
        <f>D60</f>
        <v>1.4999999999999999E-2</v>
      </c>
      <c r="E66" s="56">
        <f>MAX(C66:D66)</f>
        <v>1.006</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0.01</v>
      </c>
      <c r="E67" s="49">
        <f>MAX(C67:D67)</f>
        <v>0.11</v>
      </c>
      <c r="G67" s="1" t="str">
        <f>G61</f>
        <v>per 100 arrests</v>
      </c>
      <c r="L67" s="58">
        <f>IF(($E61&gt;0),L61,L60)</f>
        <v>100</v>
      </c>
      <c r="M67" s="58">
        <f>IF((B67=G67),1,2)</f>
        <v>1</v>
      </c>
    </row>
    <row r="68" spans="2:13" ht="15" hidden="1" customHeight="1">
      <c r="B68" s="49" t="str">
        <f t="shared" si="12"/>
        <v>per 100 referrals</v>
      </c>
      <c r="C68" s="49">
        <f t="shared" si="12"/>
        <v>0.28999999999999998</v>
      </c>
      <c r="D68" s="49">
        <f t="shared" si="12"/>
        <v>0</v>
      </c>
      <c r="E68" s="49">
        <f>MAX(C68:D68)</f>
        <v>0.28999999999999998</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U47JMPN4QEAR-1806752177-35338</_dlc_DocId>
    <_dlc_DocIdUrl xmlns="ac3811b5-0f3e-49e2-ba69-f2ffa0c782af">
      <Url>https://michiganphi.sharepoint.com/sites/CMDMC/_layouts/15/DocIdRedir.aspx?ID=U47JMPN4QEAR-1806752177-35338</Url>
      <Description>U47JMPN4QEAR-1806752177-35338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AB43BA-63EE-49E4-B22B-2191F1FC5407}">
  <ds:schemaRefs>
    <ds:schemaRef ds:uri="http://schemas.microsoft.com/sharepoint/v3/contenttype/forms"/>
  </ds:schemaRefs>
</ds:datastoreItem>
</file>

<file path=customXml/itemProps2.xml><?xml version="1.0" encoding="utf-8"?>
<ds:datastoreItem xmlns:ds="http://schemas.openxmlformats.org/officeDocument/2006/customXml" ds:itemID="{0C5B5134-3AD6-4FAC-A996-A0DDE786C070}"/>
</file>

<file path=customXml/itemProps3.xml><?xml version="1.0" encoding="utf-8"?>
<ds:datastoreItem xmlns:ds="http://schemas.openxmlformats.org/officeDocument/2006/customXml" ds:itemID="{5BEEA4DB-7EB5-443E-997A-82AEF62102C1}">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1F0B87D0-7EA7-4C05-A9B4-75FBA6484D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48c314e4-8ee9-4e80-8806-c418876b7305</vt:lpwstr>
  </property>
</Properties>
</file>