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6BA6D8A8-769A-40C4-B9B5-063957754DC7}" xr6:coauthVersionLast="47" xr6:coauthVersionMax="47" xr10:uidLastSave="{EF0F0C70-281A-491C-AF2D-14A78D7EA1B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s="1"/>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L54" i="5" s="1"/>
  <c r="L60" i="5" s="1"/>
  <c r="L66" i="5" s="1"/>
  <c r="G51" i="5"/>
  <c r="G57" i="5" s="1"/>
  <c r="G63" i="5" s="1"/>
  <c r="G69"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4"/>
  <c r="M66" i="4"/>
  <c r="F27" i="5"/>
  <c r="M66" i="5"/>
  <c r="F27" i="2"/>
  <c r="M66" i="2"/>
  <c r="F27" i="8"/>
  <c r="M66"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4" i="6"/>
  <c r="C50" i="6" s="1"/>
  <c r="E46" i="3"/>
  <c r="E46" i="7"/>
  <c r="D52" i="7" s="1"/>
  <c r="E43" i="7"/>
  <c r="L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7" l="1"/>
  <c r="L52" i="7"/>
  <c r="B49" i="7"/>
  <c r="D49" i="7"/>
  <c r="D50" i="6"/>
  <c r="E50" i="6" s="1"/>
  <c r="L50" i="6"/>
  <c r="D50" i="5"/>
  <c r="E50" i="5" s="1"/>
  <c r="C49" i="7"/>
  <c r="E49" i="7"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8" i="5"/>
  <c r="C54" i="5"/>
  <c r="C54" i="6"/>
  <c r="E48" i="6"/>
  <c r="B51" i="6"/>
  <c r="D51" i="6"/>
  <c r="C51" i="6"/>
  <c r="L51" i="6"/>
  <c r="L56" i="5" l="1"/>
  <c r="D51" i="2"/>
  <c r="L51" i="2"/>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E55" i="5" s="1"/>
  <c r="D61" i="5" s="1"/>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L64" i="3"/>
  <c r="L56" i="8"/>
  <c r="B56" i="8"/>
  <c r="D64" i="5"/>
  <c r="C64" i="5"/>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D64" i="8"/>
  <c r="E64" i="5"/>
  <c r="E57" i="8"/>
  <c r="B63" i="8" s="1"/>
  <c r="L64" i="8"/>
  <c r="B64" i="8"/>
  <c r="C64" i="8"/>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F8" i="5"/>
  <c r="D70" i="5" l="1"/>
  <c r="F14" i="5" s="1"/>
  <c r="E63" i="3"/>
  <c r="C69" i="3" s="1"/>
  <c r="D15" i="3" s="1"/>
  <c r="B70" i="5"/>
  <c r="F33" i="5" s="1"/>
  <c r="L70" i="5"/>
  <c r="Q13" i="5" s="1"/>
  <c r="D63" i="8"/>
  <c r="E64" i="8"/>
  <c r="C63" i="8"/>
  <c r="L63" i="8"/>
  <c r="L70" i="3"/>
  <c r="Q14" i="3" s="1"/>
  <c r="D70" i="6"/>
  <c r="F14" i="6" s="1"/>
  <c r="C69" i="7"/>
  <c r="D12" i="7" s="1"/>
  <c r="B70" i="3"/>
  <c r="M70" i="3" s="1"/>
  <c r="L70" i="6"/>
  <c r="L69" i="7"/>
  <c r="C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D13" i="5"/>
  <c r="D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F13" i="5"/>
  <c r="E63" i="8"/>
  <c r="D69" i="8" s="1"/>
  <c r="F15" i="8" s="1"/>
  <c r="O13" i="5"/>
  <c r="R13" i="5" s="1"/>
  <c r="S13" i="5" s="1"/>
  <c r="U13" i="5" s="1"/>
  <c r="J13" i="5" s="1"/>
  <c r="M13" i="5" s="1"/>
  <c r="D69" i="3"/>
  <c r="E69" i="3" s="1"/>
  <c r="L70" i="8"/>
  <c r="L69" i="3"/>
  <c r="Q12" i="3" s="1"/>
  <c r="B69" i="3"/>
  <c r="M69" i="3" s="1"/>
  <c r="O14" i="6"/>
  <c r="D12" i="3"/>
  <c r="Q14" i="5"/>
  <c r="O14" i="5"/>
  <c r="M70" i="5"/>
  <c r="F34" i="5"/>
  <c r="B70" i="8"/>
  <c r="M70" i="8" s="1"/>
  <c r="O13" i="6"/>
  <c r="C70" i="8"/>
  <c r="D70" i="8"/>
  <c r="F13" i="8" s="1"/>
  <c r="F14" i="3"/>
  <c r="Q12" i="7"/>
  <c r="F34" i="3"/>
  <c r="F13" i="6"/>
  <c r="Q13" i="3"/>
  <c r="O13" i="3"/>
  <c r="E70" i="6"/>
  <c r="E69" i="7"/>
  <c r="E70" i="3"/>
  <c r="F33" i="3"/>
  <c r="D15" i="7"/>
  <c r="F12" i="7"/>
  <c r="O15" i="7"/>
  <c r="D13" i="6"/>
  <c r="O12" i="7"/>
  <c r="Q15" i="7"/>
  <c r="D14" i="6"/>
  <c r="Q13" i="6"/>
  <c r="Q14" i="6"/>
  <c r="C69" i="6"/>
  <c r="D12" i="6" s="1"/>
  <c r="B69" i="6"/>
  <c r="M69" i="6" s="1"/>
  <c r="O14" i="3"/>
  <c r="R14" i="3" s="1"/>
  <c r="S14" i="3" s="1"/>
  <c r="U14" i="3" s="1"/>
  <c r="J14" i="3" s="1"/>
  <c r="M14" i="3" s="1"/>
  <c r="G14" i="3" s="1"/>
  <c r="I15" i="16" s="1"/>
  <c r="D69" i="6"/>
  <c r="F12" i="6" s="1"/>
  <c r="T10" i="3"/>
  <c r="K10" i="4"/>
  <c r="F8" i="7"/>
  <c r="T9" i="4"/>
  <c r="T11" i="4"/>
  <c r="U11" i="4" s="1"/>
  <c r="J11" i="4" s="1"/>
  <c r="K11" i="4"/>
  <c r="R10" i="4"/>
  <c r="S10" i="4" s="1"/>
  <c r="T8" i="3"/>
  <c r="U8" i="3" s="1"/>
  <c r="J8" i="3" s="1"/>
  <c r="T13" i="4"/>
  <c r="T8" i="5"/>
  <c r="U8" i="5" s="1"/>
  <c r="J8" i="5" s="1"/>
  <c r="K8" i="5"/>
  <c r="E67" i="7"/>
  <c r="L69" i="8"/>
  <c r="M67" i="7"/>
  <c r="D8" i="7"/>
  <c r="T10" i="4"/>
  <c r="K8" i="3"/>
  <c r="Q8" i="7"/>
  <c r="R8" i="7" s="1"/>
  <c r="S8" i="7" s="1"/>
  <c r="M69" i="2"/>
  <c r="K14" i="4"/>
  <c r="K13" i="4"/>
  <c r="Q8" i="6"/>
  <c r="O8" i="6"/>
  <c r="E67" i="6"/>
  <c r="C69" i="8"/>
  <c r="R13" i="4"/>
  <c r="S13" i="4" s="1"/>
  <c r="K9" i="4"/>
  <c r="R9" i="4"/>
  <c r="S9" i="4" s="1"/>
  <c r="F32" i="2"/>
  <c r="R10" i="3"/>
  <c r="S10" i="3"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C70" i="2"/>
  <c r="D14" i="2" s="1"/>
  <c r="D70" i="2"/>
  <c r="O14" i="2"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O15" i="8"/>
  <c r="B69" i="8"/>
  <c r="M69" i="8" s="1"/>
  <c r="F12" i="3"/>
  <c r="F32" i="3"/>
  <c r="R13" i="6"/>
  <c r="S13" i="6" s="1"/>
  <c r="U13" i="6" s="1"/>
  <c r="J13" i="6" s="1"/>
  <c r="M13" i="6" s="1"/>
  <c r="G13" i="6" s="1"/>
  <c r="G13" i="9" s="1"/>
  <c r="T14" i="5"/>
  <c r="D15" i="6"/>
  <c r="Q13" i="8"/>
  <c r="O12" i="3"/>
  <c r="R12" i="3" s="1"/>
  <c r="S12" i="3" s="1"/>
  <c r="U12" i="3" s="1"/>
  <c r="J12" i="3" s="1"/>
  <c r="K14" i="5"/>
  <c r="R14" i="5"/>
  <c r="S14" i="5" s="1"/>
  <c r="U14" i="5" s="1"/>
  <c r="J14" i="5" s="1"/>
  <c r="M14" i="5" s="1"/>
  <c r="D14" i="8"/>
  <c r="Q14" i="8"/>
  <c r="F33" i="8"/>
  <c r="F35" i="3"/>
  <c r="T14" i="6"/>
  <c r="Q15" i="3"/>
  <c r="F34" i="8"/>
  <c r="O15" i="3"/>
  <c r="D13" i="8"/>
  <c r="O14" i="8"/>
  <c r="T14" i="8" s="1"/>
  <c r="O13" i="8"/>
  <c r="E70" i="8"/>
  <c r="F14" i="8"/>
  <c r="T12" i="7"/>
  <c r="T15" i="7"/>
  <c r="K14" i="6"/>
  <c r="R14" i="6"/>
  <c r="S14" i="6" s="1"/>
  <c r="U14" i="6" s="1"/>
  <c r="J14" i="6" s="1"/>
  <c r="M14" i="6" s="1"/>
  <c r="G14" i="6" s="1"/>
  <c r="M15" i="13" s="1"/>
  <c r="U9" i="4"/>
  <c r="J9" i="4" s="1"/>
  <c r="M9" i="4" s="1"/>
  <c r="G9" i="4" s="1"/>
  <c r="G10" i="16" s="1"/>
  <c r="R15" i="7"/>
  <c r="S15" i="7" s="1"/>
  <c r="U15" i="7" s="1"/>
  <c r="J15" i="7" s="1"/>
  <c r="M15" i="7" s="1"/>
  <c r="U10" i="3"/>
  <c r="J10" i="3" s="1"/>
  <c r="M10" i="3" s="1"/>
  <c r="G10" i="3" s="1"/>
  <c r="I11" i="16" s="1"/>
  <c r="U10" i="4"/>
  <c r="J10" i="4" s="1"/>
  <c r="M10" i="4" s="1"/>
  <c r="G10" i="4" s="1"/>
  <c r="K15" i="7"/>
  <c r="R13" i="3"/>
  <c r="S13" i="3" s="1"/>
  <c r="U13" i="3" s="1"/>
  <c r="J13" i="3" s="1"/>
  <c r="M13" i="3" s="1"/>
  <c r="G13" i="3" s="1"/>
  <c r="T13" i="6"/>
  <c r="U13" i="4"/>
  <c r="J13" i="4" s="1"/>
  <c r="M13" i="4" s="1"/>
  <c r="G13" i="4" s="1"/>
  <c r="G14" i="16" s="1"/>
  <c r="T13" i="3"/>
  <c r="K13" i="3"/>
  <c r="T14" i="3"/>
  <c r="F32" i="6"/>
  <c r="K14" i="3"/>
  <c r="L14" i="3" s="1"/>
  <c r="P15" i="16" s="1"/>
  <c r="Q12" i="6"/>
  <c r="Q15" i="6"/>
  <c r="K12" i="7"/>
  <c r="R12" i="7"/>
  <c r="S12" i="7" s="1"/>
  <c r="U12" i="7" s="1"/>
  <c r="J12" i="7" s="1"/>
  <c r="M12" i="7" s="1"/>
  <c r="K13" i="6"/>
  <c r="O12" i="6"/>
  <c r="F35" i="6"/>
  <c r="E69" i="6"/>
  <c r="O15" i="6"/>
  <c r="F15" i="6"/>
  <c r="L11" i="4"/>
  <c r="O12" i="16" s="1"/>
  <c r="K8" i="7"/>
  <c r="O13" i="2"/>
  <c r="O12" i="8"/>
  <c r="F35" i="8"/>
  <c r="T8" i="7"/>
  <c r="U8" i="7" s="1"/>
  <c r="J8" i="7" s="1"/>
  <c r="M8" i="7" s="1"/>
  <c r="T13" i="7"/>
  <c r="Q12" i="8"/>
  <c r="Q10" i="7"/>
  <c r="F13" i="2"/>
  <c r="Q11" i="7"/>
  <c r="R8" i="6"/>
  <c r="S8" i="6" s="1"/>
  <c r="F14" i="2"/>
  <c r="E69" i="8"/>
  <c r="F10" i="7"/>
  <c r="F30" i="7"/>
  <c r="D12" i="8"/>
  <c r="M68" i="7"/>
  <c r="Q15" i="8"/>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R13" i="7"/>
  <c r="S13" i="7" s="1"/>
  <c r="U13" i="7" s="1"/>
  <c r="J13" i="7" s="1"/>
  <c r="M13" i="7" s="1"/>
  <c r="Q13" i="2"/>
  <c r="U9" i="3"/>
  <c r="J9" i="3" s="1"/>
  <c r="L9" i="3" s="1"/>
  <c r="L13" i="5"/>
  <c r="Q14" i="16" s="1"/>
  <c r="K13" i="7"/>
  <c r="T8" i="2"/>
  <c r="U8" i="2" s="1"/>
  <c r="J8" i="2" s="1"/>
  <c r="M11" i="4"/>
  <c r="G11" i="4" s="1"/>
  <c r="T14" i="7"/>
  <c r="U14" i="7" s="1"/>
  <c r="J14" i="7" s="1"/>
  <c r="K14" i="7"/>
  <c r="N30" i="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8" l="1"/>
  <c r="S15" i="8" s="1"/>
  <c r="F32" i="8"/>
  <c r="L13" i="6"/>
  <c r="R14" i="16" s="1"/>
  <c r="M14" i="13"/>
  <c r="R13" i="8"/>
  <c r="S13" i="8" s="1"/>
  <c r="T12" i="3"/>
  <c r="K12" i="3"/>
  <c r="L12" i="3" s="1"/>
  <c r="P13" i="16" s="1"/>
  <c r="K15" i="3"/>
  <c r="L14" i="5"/>
  <c r="Q15" i="16" s="1"/>
  <c r="R15" i="3"/>
  <c r="S15" i="3" s="1"/>
  <c r="U15" i="3" s="1"/>
  <c r="J15" i="3" s="1"/>
  <c r="M15" i="3" s="1"/>
  <c r="G15" i="3" s="1"/>
  <c r="I16" i="16" s="1"/>
  <c r="N30" i="5"/>
  <c r="T15" i="3"/>
  <c r="K14" i="8"/>
  <c r="R14" i="8"/>
  <c r="S14" i="8" s="1"/>
  <c r="U14" i="8" s="1"/>
  <c r="J14" i="8" s="1"/>
  <c r="N30" i="8" s="1"/>
  <c r="K13" i="8"/>
  <c r="D9" i="9"/>
  <c r="T13" i="8"/>
  <c r="I11" i="13"/>
  <c r="G10" i="13"/>
  <c r="L10" i="4"/>
  <c r="O11" i="16" s="1"/>
  <c r="L9" i="4"/>
  <c r="O10" i="16" s="1"/>
  <c r="L15" i="7"/>
  <c r="S16" i="16" s="1"/>
  <c r="L10" i="3"/>
  <c r="P11" i="16" s="1"/>
  <c r="E10" i="9"/>
  <c r="G11" i="16"/>
  <c r="G11" i="13"/>
  <c r="L13" i="4"/>
  <c r="O14" i="16" s="1"/>
  <c r="L13" i="3"/>
  <c r="P14" i="16" s="1"/>
  <c r="T15" i="6"/>
  <c r="K12" i="6"/>
  <c r="R12" i="6"/>
  <c r="S12" i="6" s="1"/>
  <c r="U12" i="6" s="1"/>
  <c r="J12" i="6" s="1"/>
  <c r="M12" i="6" s="1"/>
  <c r="G12" i="6" s="1"/>
  <c r="K15" i="6"/>
  <c r="T12" i="6"/>
  <c r="R15" i="6"/>
  <c r="S15" i="6" s="1"/>
  <c r="U15" i="6" s="1"/>
  <c r="J15" i="6" s="1"/>
  <c r="M15" i="6" s="1"/>
  <c r="G15" i="6" s="1"/>
  <c r="L12" i="7"/>
  <c r="S13" i="16" s="1"/>
  <c r="D10" i="9"/>
  <c r="U12" i="13"/>
  <c r="M11" i="9"/>
  <c r="R12" i="8"/>
  <c r="S12" i="8" s="1"/>
  <c r="T13" i="2"/>
  <c r="U8" i="6"/>
  <c r="J8" i="6" s="1"/>
  <c r="M8" i="6" s="1"/>
  <c r="G8" i="6" s="1"/>
  <c r="M9" i="13" s="1"/>
  <c r="R13" i="2"/>
  <c r="S13" i="2" s="1"/>
  <c r="T15" i="8"/>
  <c r="G14" i="9"/>
  <c r="T12" i="8"/>
  <c r="K12" i="8"/>
  <c r="R10" i="7"/>
  <c r="S10" i="7" s="1"/>
  <c r="T11" i="7"/>
  <c r="T10" i="7"/>
  <c r="L8" i="2"/>
  <c r="N9" i="16" s="1"/>
  <c r="K13" i="2"/>
  <c r="R15" i="5"/>
  <c r="S15" i="5" s="1"/>
  <c r="U15" i="5" s="1"/>
  <c r="J15" i="5" s="1"/>
  <c r="M15" i="5" s="1"/>
  <c r="K11" i="7"/>
  <c r="K15" i="8"/>
  <c r="T9" i="7"/>
  <c r="N30" i="6"/>
  <c r="R11" i="7"/>
  <c r="S11" i="7" s="1"/>
  <c r="L14" i="6"/>
  <c r="R15" i="16" s="1"/>
  <c r="K12" i="5"/>
  <c r="L12" i="5" s="1"/>
  <c r="Q13" i="16" s="1"/>
  <c r="T12" i="5"/>
  <c r="K10" i="7"/>
  <c r="R14" i="2"/>
  <c r="S14" i="2" s="1"/>
  <c r="D13" i="9"/>
  <c r="G14" i="13"/>
  <c r="P13" i="9"/>
  <c r="K9" i="7"/>
  <c r="T14" i="2"/>
  <c r="V12" i="13"/>
  <c r="U10" i="13"/>
  <c r="N11" i="9"/>
  <c r="T15" i="5"/>
  <c r="W14" i="13"/>
  <c r="N14" i="9"/>
  <c r="L13" i="7"/>
  <c r="S14" i="16" s="1"/>
  <c r="M9" i="3"/>
  <c r="G9" i="3" s="1"/>
  <c r="I10" i="13" s="1"/>
  <c r="I14" i="13"/>
  <c r="I14" i="16"/>
  <c r="G12" i="13"/>
  <c r="G12" i="16"/>
  <c r="N9" i="9"/>
  <c r="P10" i="16"/>
  <c r="M14" i="7"/>
  <c r="N30" i="7"/>
  <c r="L14" i="7"/>
  <c r="S15" i="16" s="1"/>
  <c r="L8" i="7"/>
  <c r="S9" i="16" s="1"/>
  <c r="O13" i="9"/>
  <c r="M9" i="9"/>
  <c r="V10" i="13"/>
  <c r="V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O14" i="9" l="1"/>
  <c r="X14" i="13"/>
  <c r="U13" i="8"/>
  <c r="J13" i="8" s="1"/>
  <c r="M13" i="8" s="1"/>
  <c r="G13" i="8" s="1"/>
  <c r="I13" i="9" s="1"/>
  <c r="I16" i="13"/>
  <c r="L15" i="3"/>
  <c r="P16" i="16" s="1"/>
  <c r="E15" i="9"/>
  <c r="W15" i="13"/>
  <c r="M10" i="9"/>
  <c r="U14" i="2"/>
  <c r="J14" i="2" s="1"/>
  <c r="M14" i="2" s="1"/>
  <c r="G14" i="2" s="1"/>
  <c r="E15" i="16" s="1"/>
  <c r="U11" i="13"/>
  <c r="N10" i="9"/>
  <c r="V11" i="13"/>
  <c r="Y16" i="13"/>
  <c r="Q15" i="9"/>
  <c r="V14" i="13"/>
  <c r="N13" i="9"/>
  <c r="U12" i="8"/>
  <c r="J12" i="8" s="1"/>
  <c r="L12" i="8" s="1"/>
  <c r="T13" i="16" s="1"/>
  <c r="U10" i="7"/>
  <c r="J10" i="7" s="1"/>
  <c r="L10" i="7" s="1"/>
  <c r="S11" i="16" s="1"/>
  <c r="U11" i="7"/>
  <c r="J11" i="7" s="1"/>
  <c r="L11" i="7" s="1"/>
  <c r="S12" i="16" s="1"/>
  <c r="Q12" i="9"/>
  <c r="M13" i="9"/>
  <c r="U14" i="13"/>
  <c r="L12" i="6"/>
  <c r="R13" i="16" s="1"/>
  <c r="U13" i="2"/>
  <c r="J13" i="2" s="1"/>
  <c r="M13" i="2" s="1"/>
  <c r="G13" i="2" s="1"/>
  <c r="E14" i="16" s="1"/>
  <c r="L15" i="6"/>
  <c r="R16" i="16" s="1"/>
  <c r="Y13" i="13"/>
  <c r="M14" i="8"/>
  <c r="G14" i="8" s="1"/>
  <c r="K15" i="16" s="1"/>
  <c r="L14" i="8"/>
  <c r="T15"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4" i="13" l="1"/>
  <c r="K14" i="16"/>
  <c r="L13" i="8"/>
  <c r="T14" i="16" s="1"/>
  <c r="C14" i="9"/>
  <c r="L14" i="2"/>
  <c r="N15" i="16" s="1"/>
  <c r="N30" i="2"/>
  <c r="E15" i="13"/>
  <c r="M11" i="7"/>
  <c r="M10" i="7"/>
  <c r="M12" i="8"/>
  <c r="G12" i="8" s="1"/>
  <c r="K13" i="16" s="1"/>
  <c r="X13" i="13"/>
  <c r="P12" i="9"/>
  <c r="C13" i="9"/>
  <c r="X16" i="13"/>
  <c r="Z15" i="13"/>
  <c r="E14" i="13"/>
  <c r="L13" i="2"/>
  <c r="N14" i="16" s="1"/>
  <c r="P15" i="9"/>
  <c r="R14" i="9"/>
  <c r="I14" i="9"/>
  <c r="Q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13" i="9" l="1"/>
  <c r="Z14" i="13"/>
  <c r="L14" i="9"/>
  <c r="Q13" i="13"/>
  <c r="I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<sst xmlns="http://schemas.openxmlformats.org/spreadsheetml/2006/main" count="654" uniqueCount="141">
  <si>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</si>
  <si>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</si>
  <si>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</si>
  <si>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</si>
  <si>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</si>
  <si>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</si>
  <si>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</si>
  <si>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</si>
  <si>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</si>
  <si>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</si>
  <si>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</si>
  <si>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</si>
  <si>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</si>
  <si>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</si>
  <si>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</si>
  <si>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</si>
  <si>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</si>
  <si>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</si>
  <si>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</si>
  <si>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</si>
  <si>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</si>
  <si>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</si>
  <si>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</si>
  <si>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</si>
  <si>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</si>
  <si>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</si>
  <si>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</si>
  <si>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</si>
  <si>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</si>
  <si>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</si>
  <si>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</si>
  <si>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</si>
  <si>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</si>
  <si>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</si>
  <si>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</si>
  <si>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</si>
  <si>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</si>
  <si>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</si>
  <si>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</si>
  <si>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</si>
  <si>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</si>
  <si>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</si>
  <si>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</si>
  <si>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</si>
  <si>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</si>
  <si>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</si>
  <si>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</si>
  <si>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</si>
  <si>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</si>
  <si>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</si>
  <si>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</si>
  <si>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</si>
  <si>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</si>
  <si>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</si>
  <si>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</si>
  <si>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</si>
  <si>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</si>
  <si>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</si>
  <si>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</si>
  <si>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</si>
  <si>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</si>
  <si>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</si>
  <si>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</si>
  <si>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</si>
  <si>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</si>
  <si>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</si>
  <si>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</si>
  <si>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</si>
  <si>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</si>
  <si>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</si>
  <si>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</si>
  <si>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</si>
  <si>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</si>
  <si>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</si>
  <si>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</si>
  <si>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</si>
  <si>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</si>
  <si>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</si>
  <si>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</si>
  <si>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</si>
  <si>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</si>
  <si>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</si>
  <si>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</si>
  <si>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</si>
  <si>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</si>
  <si>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</si>
  <si>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</si>
  <si>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</si>
  <si>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</si>
  <si>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</si>
  <si>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</si>
  <si>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</si>
  <si>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</si>
  <si>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</si>
  <si>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</si>
  <si>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</si>
  <si>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</si>
  <si>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</si>
  <si>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</si>
  <si>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</si>
  <si>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</si>
  <si>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</si>
  <si>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</si>
  <si>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</si>
  <si>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</si>
  <si>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</si>
  <si>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</si>
  <si>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</si>
  <si>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</si>
  <si>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</si>
  <si>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</si>
  <si>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</si>
  <si>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</si>
  <si>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</si>
  <si>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</si>
  <si>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</si>
  <si>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</si>
  <si>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</si>
  <si>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</si>
  <si>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</si>
  <si>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</si>
  <si>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</si>
  <si>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</si>
  <si>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</si>
  <si>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</si>
  <si>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</si>
  <si>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</si>
  <si>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</si>
  <si>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</si>
  <si>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</si>
  <si>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</si>
  <si>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</si>
  <si>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</si>
  <si>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</si>
  <si>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</si>
  <si>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</si>
  <si>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Clinton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</si>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</sst>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Clinton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N=15</c:v>
                </c:pt>
                <c:pt idx="3">
                  <c:v>Petitions, total N=17</c:v>
                </c:pt>
                <c:pt idx="4">
                  <c:v>Detentions, total N=3</c:v>
                </c:pt>
                <c:pt idx="5">
                  <c:v>Referrals, total N=73</c:v>
                </c:pt>
                <c:pt idx="6">
                  <c:v>Arrests, total N=2</c:v>
                </c:pt>
                <c:pt idx="7">
                  <c:v>Population, total N=8182</c:v>
                </c:pt>
              </c:strCache>
            </c:strRef>
          </c:cat>
          <c:val>
            <c:numRef>
              <c:f>'Stacked 100%'!$B$7:$B$14</c:f>
              <c:numCache>
                <c:formatCode>0%</c:formatCode>
                <c:ptCount val="8"/>
                <c:pt idx="0">
                  <c:v>0</c:v>
                </c:pt>
                <c:pt idx="1">
                  <c:v>0</c:v>
                </c:pt>
                <c:pt idx="2">
                  <c:v>6.6666666666666666E-2</c:v>
                </c:pt>
                <c:pt idx="3">
                  <c:v>5.8823529411764705E-2</c:v>
                </c:pt>
                <c:pt idx="4">
                  <c:v>0</c:v>
                </c:pt>
                <c:pt idx="5">
                  <c:v>0.13698630136986301</c:v>
                </c:pt>
                <c:pt idx="6">
                  <c:v>0</c:v>
                </c:pt>
                <c:pt idx="7">
                  <c:v>3.4343681251527744E-2</c:v>
                </c:pt>
              </c:numCache>
            </c:numRef>
          </c:val>
          <c:extLst>
            <c:ext xmlns:c16="http://schemas.microsoft.com/office/drawing/2014/chart" uri="{C3380CC4-5D6E-409C-BE32-E72D297353CC}">
              <c16:uniqueId val="{00000000-9DAD-4900-8F99-F2BB911C160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N=15</c:v>
                </c:pt>
                <c:pt idx="3">
                  <c:v>Petitions, total N=17</c:v>
                </c:pt>
                <c:pt idx="4">
                  <c:v>Detentions, total N=3</c:v>
                </c:pt>
                <c:pt idx="5">
                  <c:v>Referrals, total N=73</c:v>
                </c:pt>
                <c:pt idx="6">
                  <c:v>Arrests, total N=2</c:v>
                </c:pt>
                <c:pt idx="7">
                  <c:v>Population, total N=8182</c:v>
                </c:pt>
              </c:strCache>
            </c:strRef>
          </c:cat>
          <c:val>
            <c:numRef>
              <c:f>'Stacked 100%'!$C$7:$C$14</c:f>
              <c:numCache>
                <c:formatCode>0%</c:formatCode>
                <c:ptCount val="8"/>
                <c:pt idx="0">
                  <c:v>0</c:v>
                </c:pt>
                <c:pt idx="1">
                  <c:v>0</c:v>
                </c:pt>
                <c:pt idx="2">
                  <c:v>0</c:v>
                </c:pt>
                <c:pt idx="3">
                  <c:v>0</c:v>
                </c:pt>
                <c:pt idx="4">
                  <c:v>0</c:v>
                </c:pt>
                <c:pt idx="5">
                  <c:v>0</c:v>
                </c:pt>
                <c:pt idx="6">
                  <c:v>0</c:v>
                </c:pt>
                <c:pt idx="7">
                  <c:v>7.1498411146418972E-2</c:v>
                </c:pt>
              </c:numCache>
            </c:numRef>
          </c:val>
          <c:extLst>
            <c:ext xmlns:c16="http://schemas.microsoft.com/office/drawing/2014/chart" uri="{C3380CC4-5D6E-409C-BE32-E72D297353CC}">
              <c16:uniqueId val="{00000001-9DAD-4900-8F99-F2BB911C160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N=9</c:v>
                </c:pt>
                <c:pt idx="2">
                  <c:v>Delinquent Findings, total N=15</c:v>
                </c:pt>
                <c:pt idx="3">
                  <c:v>Petitions, total N=17</c:v>
                </c:pt>
                <c:pt idx="4">
                  <c:v>Detentions, total N=3</c:v>
                </c:pt>
                <c:pt idx="5">
                  <c:v>Referrals, total N=73</c:v>
                </c:pt>
                <c:pt idx="6">
                  <c:v>Arrests, total N=2</c:v>
                </c:pt>
                <c:pt idx="7">
                  <c:v>Population, total N=8182</c:v>
                </c:pt>
              </c:strCache>
            </c:strRef>
          </c:cat>
          <c:val>
            <c:numRef>
              <c:f>'Stacked 100%'!$H$7:$H$14</c:f>
              <c:numCache>
                <c:formatCode>0%</c:formatCode>
                <c:ptCount val="8"/>
                <c:pt idx="0">
                  <c:v>0</c:v>
                </c:pt>
                <c:pt idx="1">
                  <c:v>0</c:v>
                </c:pt>
                <c:pt idx="2">
                  <c:v>0</c:v>
                </c:pt>
                <c:pt idx="3">
                  <c:v>0</c:v>
                </c:pt>
                <c:pt idx="4">
                  <c:v>0</c:v>
                </c:pt>
                <c:pt idx="5">
                  <c:v>0</c:v>
                </c:pt>
                <c:pt idx="6">
                  <c:v>0</c:v>
                </c:pt>
                <c:pt idx="7">
                  <c:v>2.7485198175150145E-6</c:v>
                </c:pt>
              </c:numCache>
            </c:numRef>
          </c:val>
          <c:extLst>
            <c:ext xmlns:c16="http://schemas.microsoft.com/office/drawing/2014/chart" uri="{C3380CC4-5D6E-409C-BE32-E72D297353CC}">
              <c16:uniqueId val="{00000002-9DAD-4900-8F99-F2BB911C160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N=15</c:v>
                </c:pt>
                <c:pt idx="3">
                  <c:v>Petitions, total N=17</c:v>
                </c:pt>
                <c:pt idx="4">
                  <c:v>Detentions, total N=3</c:v>
                </c:pt>
                <c:pt idx="5">
                  <c:v>Referrals, total N=73</c:v>
                </c:pt>
                <c:pt idx="6">
                  <c:v>Arrests, total N=2</c:v>
                </c:pt>
                <c:pt idx="7">
                  <c:v>Population, total N=8182</c:v>
                </c:pt>
              </c:strCache>
            </c:strRef>
          </c:cat>
          <c:val>
            <c:numRef>
              <c:f>'Stacked 100%'!$I$7:$I$14</c:f>
              <c:numCache>
                <c:formatCode>0%</c:formatCode>
                <c:ptCount val="8"/>
                <c:pt idx="0">
                  <c:v>0</c:v>
                </c:pt>
                <c:pt idx="1">
                  <c:v>1</c:v>
                </c:pt>
                <c:pt idx="2">
                  <c:v>0.93333333333333335</c:v>
                </c:pt>
                <c:pt idx="3">
                  <c:v>0.94117647058823528</c:v>
                </c:pt>
                <c:pt idx="4">
                  <c:v>1</c:v>
                </c:pt>
                <c:pt idx="5">
                  <c:v>0.86301369863013699</c:v>
                </c:pt>
                <c:pt idx="6">
                  <c:v>1</c:v>
                </c:pt>
                <c:pt idx="7">
                  <c:v>0.8716695184551454</c:v>
                </c:pt>
              </c:numCache>
            </c:numRef>
          </c:val>
          <c:extLst>
            <c:ext xmlns:c16="http://schemas.microsoft.com/office/drawing/2014/chart" uri="{C3380CC4-5D6E-409C-BE32-E72D297353CC}">
              <c16:uniqueId val="{00000003-9DAD-4900-8F99-F2BB911C160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N=9</c:v>
                </c:pt>
                <c:pt idx="2">
                  <c:v>Delinquent Findings, total N=15</c:v>
                </c:pt>
                <c:pt idx="3">
                  <c:v>Petitions, total N=17</c:v>
                </c:pt>
                <c:pt idx="4">
                  <c:v>Detentions, total N=3</c:v>
                </c:pt>
                <c:pt idx="5">
                  <c:v>Referrals, total N=73</c:v>
                </c:pt>
                <c:pt idx="6">
                  <c:v>Arrests, total N=2</c:v>
                </c:pt>
                <c:pt idx="7">
                  <c:v>Population, total N=8182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DAD-4900-8F99-F2BB911C160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8182</v>
      </c>
      <c r="C6" s="11">
        <v>7132</v>
      </c>
      <c r="D6" s="11">
        <v>281</v>
      </c>
      <c r="E6" s="11">
        <v>585</v>
      </c>
      <c r="F6" s="11">
        <v>154</v>
      </c>
      <c r="G6" s="11"/>
      <c r="H6" s="11">
        <v>30</v>
      </c>
      <c r="I6" s="11"/>
      <c r="J6" s="91">
        <f>SUM(D6:I6)</f>
        <v>1050</v>
      </c>
      <c r="K6" s="92"/>
    </row>
    <row r="7" spans="1:11" ht="15.75" customHeight="1" thickBot="1">
      <c r="A7" s="10" t="s">
        <v>8</v>
      </c>
      <c r="B7" s="11">
        <f t="shared" ref="B7:B15" si="0">SUM(C7:I7)+K7</f>
        <v>2</v>
      </c>
      <c r="C7" s="11">
        <v>2</v>
      </c>
      <c r="D7" s="11">
        <v>0</v>
      </c>
      <c r="E7" s="11">
        <v>0</v>
      </c>
      <c r="F7" s="11">
        <v>0</v>
      </c>
      <c r="G7" s="11">
        <v>0</v>
      </c>
      <c r="H7" s="11">
        <v>0</v>
      </c>
      <c r="I7" s="11"/>
      <c r="J7" s="91">
        <f t="shared" ref="J7:J15" si="1">SUM(D7:I7)</f>
        <v>0</v>
      </c>
      <c r="K7" s="92">
        <v>0</v>
      </c>
    </row>
    <row r="8" spans="1:11" ht="15.75" customHeight="1" thickBot="1">
      <c r="A8" s="10" t="s">
        <v>9</v>
      </c>
      <c r="B8" s="11">
        <f t="shared" si="0"/>
        <v>73</v>
      </c>
      <c r="C8" s="11">
        <v>63</v>
      </c>
      <c r="D8" s="11">
        <v>10</v>
      </c>
      <c r="E8" s="11"/>
      <c r="F8" s="11"/>
      <c r="G8" s="11"/>
      <c r="H8" s="11"/>
      <c r="I8" s="11"/>
      <c r="J8" s="91">
        <f t="shared" si="1"/>
        <v>10</v>
      </c>
      <c r="K8" s="92"/>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3</v>
      </c>
      <c r="C10" s="11">
        <v>3</v>
      </c>
      <c r="D10" s="11"/>
      <c r="E10" s="11"/>
      <c r="F10" s="11"/>
      <c r="G10" s="11"/>
      <c r="H10" s="11"/>
      <c r="I10" s="11"/>
      <c r="J10" s="91">
        <f t="shared" si="1"/>
        <v>0</v>
      </c>
      <c r="K10" s="92"/>
    </row>
    <row r="11" spans="1:11" ht="15.75" customHeight="1" thickBot="1">
      <c r="A11" s="10" t="s">
        <v>12</v>
      </c>
      <c r="B11" s="11">
        <f t="shared" si="0"/>
        <v>17</v>
      </c>
      <c r="C11" s="11">
        <v>16</v>
      </c>
      <c r="D11" s="11">
        <v>1</v>
      </c>
      <c r="E11" s="11"/>
      <c r="F11" s="11"/>
      <c r="G11" s="11"/>
      <c r="H11" s="11"/>
      <c r="I11" s="11"/>
      <c r="J11" s="91">
        <f t="shared" si="1"/>
        <v>1</v>
      </c>
      <c r="K11" s="92"/>
    </row>
    <row r="12" spans="1:11" ht="15.75" customHeight="1" thickBot="1">
      <c r="A12" s="10" t="s">
        <v>13</v>
      </c>
      <c r="B12" s="11">
        <f t="shared" si="0"/>
        <v>15</v>
      </c>
      <c r="C12" s="11">
        <v>14</v>
      </c>
      <c r="D12" s="11">
        <v>1</v>
      </c>
      <c r="E12" s="11"/>
      <c r="F12" s="11"/>
      <c r="G12" s="11"/>
      <c r="H12" s="11"/>
      <c r="I12" s="11"/>
      <c r="J12" s="91">
        <f t="shared" si="1"/>
        <v>1</v>
      </c>
      <c r="K12" s="92"/>
    </row>
    <row r="13" spans="1:11" ht="15.75" customHeight="1" thickBot="1">
      <c r="A13" s="10" t="s">
        <v>133</v>
      </c>
      <c r="B13" s="11">
        <f t="shared" si="0"/>
        <v>51</v>
      </c>
      <c r="C13" s="11">
        <v>44</v>
      </c>
      <c r="D13" s="11">
        <v>7</v>
      </c>
      <c r="E13" s="11"/>
      <c r="F13" s="11"/>
      <c r="G13" s="11"/>
      <c r="H13" s="11"/>
      <c r="I13" s="11"/>
      <c r="J13" s="91">
        <f t="shared" si="1"/>
        <v>7</v>
      </c>
      <c r="K13" s="92"/>
    </row>
    <row r="14" spans="1:11" ht="26.25" customHeight="1" thickBot="1">
      <c r="A14" s="10" t="s">
        <v>123</v>
      </c>
      <c r="B14" s="11">
        <f t="shared" si="0"/>
        <v>9</v>
      </c>
      <c r="C14" s="11">
        <v>9</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7132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0.28042624789680315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7130</v>
      </c>
      <c r="R7" s="42">
        <f t="shared" ref="R7:R15" si="5">SUM(N7:Q7)</f>
        <v>7132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63</v>
      </c>
      <c r="D8" s="34">
        <f>IF((AND(C67&gt;0,C8&gt;0)),(C8/C67),0)</f>
        <v>3150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-61</v>
      </c>
      <c r="R8" s="42">
        <f t="shared" si="5"/>
        <v>2.0499999999999972</v>
      </c>
      <c r="S8" s="30">
        <f t="shared" si="6"/>
        <v>20.341124999999977</v>
      </c>
      <c r="T8" s="30">
        <f t="shared" si="7"/>
        <v>-383.98500000000007</v>
      </c>
      <c r="U8" s="31">
        <f t="shared" si="8"/>
        <v>-5.2973748974569246E-2</v>
      </c>
    </row>
    <row r="9" spans="2:21" ht="18" customHeight="1">
      <c r="B9" s="32" t="str">
        <f>'Data Entry'!A9</f>
        <v xml:space="preserve">4. Cases Diverted </v>
      </c>
      <c r="C9" s="33">
        <f>'Data Entry'!C9</f>
        <v>1</v>
      </c>
      <c r="D9" s="34">
        <f>IF((AND(C68&gt;0,C9&gt;0)),((C9/C68)),0)</f>
        <v>1.5873015873015872</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62</v>
      </c>
      <c r="R9" s="42">
        <f t="shared" si="5"/>
        <v>63</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4.7619047619047619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60</v>
      </c>
      <c r="R10" s="42">
        <f t="shared" si="5"/>
        <v>63</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25.396825396825395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47</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87.5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2</v>
      </c>
      <c r="R12" s="42">
        <f t="shared" si="5"/>
        <v>16</v>
      </c>
      <c r="S12" s="30">
        <f t="shared" si="6"/>
        <v>0</v>
      </c>
      <c r="T12" s="30">
        <f t="shared" si="7"/>
        <v>0</v>
      </c>
      <c r="U12" s="31" t="str">
        <f t="shared" si="8"/>
        <v>- -</v>
      </c>
    </row>
    <row r="13" spans="2:21" ht="18" customHeight="1">
      <c r="B13" s="32" t="str">
        <f>'Data Entry'!A13</f>
        <v>8. Cases Resulting in Probation Placement</v>
      </c>
      <c r="C13" s="33">
        <f>'Data Entry'!C13</f>
        <v>44</v>
      </c>
      <c r="D13" s="34">
        <f>IF(((AND(C70&gt;0,C13&gt;0))),(C13/(C70)),0)</f>
        <v>314.28571428571428</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44</v>
      </c>
      <c r="Q13" s="42">
        <f>(C70*L70)-C13</f>
        <v>-30</v>
      </c>
      <c r="R13" s="42">
        <f t="shared" si="5"/>
        <v>14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64.285714285714278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5.0000000000000018</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7.1319999999999997</v>
      </c>
      <c r="D42" s="56">
        <f>E6/1000</f>
        <v>0</v>
      </c>
      <c r="E42" s="56">
        <f>MAX(C42:D42)</f>
        <v>7.1319999999999997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7.1319999999999997</v>
      </c>
      <c r="D48" s="56">
        <f>D42</f>
        <v>0</v>
      </c>
      <c r="E48" s="56">
        <f>MAX(C48:D48)</f>
        <v>7.1319999999999997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7.1319999999999997</v>
      </c>
      <c r="D54" s="56">
        <f>D48</f>
        <v>0</v>
      </c>
      <c r="E54" s="56">
        <f>MAX(C54:D54)</f>
        <v>7.1319999999999997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7.1319999999999997</v>
      </c>
      <c r="D60" s="56">
        <f>D54</f>
        <v>0</v>
      </c>
      <c r="E60" s="56">
        <f>MAX(C60:D60)</f>
        <v>7.1319999999999997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7.1319999999999997</v>
      </c>
      <c r="D66" s="56">
        <f>D60</f>
        <v>0</v>
      </c>
      <c r="E66" s="56">
        <f>MAX(C66:D66)</f>
        <v>7.1319999999999997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7132</v>
      </c>
      <c r="D6" s="34"/>
      <c r="E6" s="33">
        <f>'Data Entry'!J6</f>
        <v>1050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0.28042624789680315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1050</v>
      </c>
      <c r="P7" s="42">
        <f t="shared" ref="P7:P15" si="4">C7</f>
        <v>2</v>
      </c>
      <c r="Q7" s="42">
        <f>C6-C7</f>
        <v>7130</v>
      </c>
      <c r="R7" s="42">
        <f t="shared" ref="R7:R15" si="5">SUM(N7:Q7)</f>
        <v>8182</v>
      </c>
      <c r="S7" s="30">
        <f t="shared" ref="S7:S15" si="6">R7*((((N7*Q7)-(O7*P7))^2))</f>
        <v>36082620000</v>
      </c>
      <c r="T7" s="30">
        <f t="shared" ref="T7:T15" si="7">(N7+O7)*(P7+Q7)*(N7+P7)*(O7+Q7)</f>
        <v>122513496000</v>
      </c>
      <c r="U7" s="31">
        <f t="shared" ref="U7:U15" si="8">IF((S7&gt;0),S7/T7,"- -")</f>
        <v>0.29451955236017424</v>
      </c>
    </row>
    <row r="8" spans="2:21" ht="18" customHeight="1">
      <c r="B8" s="32" t="str">
        <f>'Data Entry'!A8</f>
        <v>3. Refer to Juvenile Court</v>
      </c>
      <c r="C8" s="33">
        <f>'Data Entry'!C8</f>
        <v>63</v>
      </c>
      <c r="D8" s="34">
        <f>IF((AND(C67&gt;0,C8&gt;0)),(C8/C67),0)</f>
        <v>3150</v>
      </c>
      <c r="E8" s="33">
        <f>'Data Entry'!J8</f>
        <v>10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-9.9499999999999993</v>
      </c>
      <c r="P8" s="42">
        <f t="shared" si="4"/>
        <v>63</v>
      </c>
      <c r="Q8" s="42">
        <f>(C$67*L67)-C8</f>
        <v>-61</v>
      </c>
      <c r="R8" s="42">
        <f t="shared" si="5"/>
        <v>2.0499999999999972</v>
      </c>
      <c r="S8" s="30">
        <f t="shared" si="6"/>
        <v>582.04112499999292</v>
      </c>
      <c r="T8" s="30">
        <f t="shared" si="7"/>
        <v>-517.93500000000734</v>
      </c>
      <c r="U8" s="31">
        <f t="shared" si="8"/>
        <v>-1.1237725293714167</v>
      </c>
    </row>
    <row r="9" spans="2:21" ht="18" customHeight="1">
      <c r="B9" s="32" t="str">
        <f>'Data Entry'!A9</f>
        <v xml:space="preserve">4. Cases Diverted </v>
      </c>
      <c r="C9" s="33">
        <f>'Data Entry'!C9</f>
        <v>1</v>
      </c>
      <c r="D9" s="34">
        <f>IF((AND(C68&gt;0,C9&gt;0)),((C9/C68)),0)</f>
        <v>1.5873015873015872</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10</v>
      </c>
      <c r="P9" s="42">
        <f t="shared" si="4"/>
        <v>1</v>
      </c>
      <c r="Q9" s="42">
        <f>(C$68*L68)-C9</f>
        <v>62</v>
      </c>
      <c r="R9" s="42">
        <f t="shared" si="5"/>
        <v>73</v>
      </c>
      <c r="S9" s="30">
        <f t="shared" si="6"/>
        <v>7300</v>
      </c>
      <c r="T9" s="30">
        <f t="shared" si="7"/>
        <v>45360</v>
      </c>
      <c r="U9" s="31">
        <f t="shared" si="8"/>
        <v>0.16093474426807761</v>
      </c>
    </row>
    <row r="10" spans="2:21" ht="18" customHeight="1">
      <c r="B10" s="32" t="str">
        <f>'Data Entry'!A10</f>
        <v>5. Cases Involving Secure Detention</v>
      </c>
      <c r="C10" s="33">
        <f>'Data Entry'!C10</f>
        <v>3</v>
      </c>
      <c r="D10" s="34">
        <f>IF(((AND(C68&gt;0,C10&gt;0))),(C10/(C68)),0)</f>
        <v>4.7619047619047619</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10</v>
      </c>
      <c r="P10" s="42">
        <f t="shared" si="4"/>
        <v>3</v>
      </c>
      <c r="Q10" s="42">
        <f>(C$68*L68)-C10</f>
        <v>60</v>
      </c>
      <c r="R10" s="42">
        <f t="shared" si="5"/>
        <v>73</v>
      </c>
      <c r="S10" s="30">
        <f t="shared" si="6"/>
        <v>65700</v>
      </c>
      <c r="T10" s="30">
        <f t="shared" si="7"/>
        <v>132300</v>
      </c>
      <c r="U10" s="31">
        <f t="shared" si="8"/>
        <v>0.49659863945578231</v>
      </c>
    </row>
    <row r="11" spans="2:21" ht="18" customHeight="1">
      <c r="B11" s="32" t="str">
        <f>'Data Entry'!A11</f>
        <v>6. Cases Petitioned (Charge Filed)</v>
      </c>
      <c r="C11" s="33">
        <f>'Data Entry'!C11</f>
        <v>16</v>
      </c>
      <c r="D11" s="34">
        <f>IF(((AND(C68&gt;0,C11&gt;0))),(C11/(C68)),0)</f>
        <v>25.396825396825395</v>
      </c>
      <c r="E11" s="33">
        <f>'Data Entry'!J11</f>
        <v>1</v>
      </c>
      <c r="F11" s="34">
        <f>IF(((AND($E$11&gt;0,$D$68&gt;0))),($E$11/($D$68)),0)</f>
        <v>10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9</v>
      </c>
      <c r="P11" s="42">
        <f t="shared" si="4"/>
        <v>16</v>
      </c>
      <c r="Q11" s="42">
        <f>(C$68*L68)-C11</f>
        <v>47</v>
      </c>
      <c r="R11" s="42">
        <f t="shared" si="5"/>
        <v>73</v>
      </c>
      <c r="S11" s="30">
        <f t="shared" si="6"/>
        <v>686857</v>
      </c>
      <c r="T11" s="30">
        <f t="shared" si="7"/>
        <v>599760</v>
      </c>
      <c r="U11" s="31">
        <f t="shared" si="8"/>
        <v>1.1452197545684941</v>
      </c>
    </row>
    <row r="12" spans="2:21" ht="18" customHeight="1">
      <c r="B12" s="32" t="str">
        <f>'Data Entry'!A12</f>
        <v>7. Cases Resulting in Delinquent Findings</v>
      </c>
      <c r="C12" s="33">
        <f>'Data Entry'!C12</f>
        <v>14</v>
      </c>
      <c r="D12" s="34">
        <f>IF(((AND(C69&gt;0,C12&gt;0))),(C12/(C69)),0)</f>
        <v>87.5</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14</v>
      </c>
      <c r="Q12" s="42">
        <f>(C69*L69)-C12</f>
        <v>2</v>
      </c>
      <c r="R12" s="42">
        <f t="shared" si="5"/>
        <v>17</v>
      </c>
      <c r="S12" s="30">
        <f t="shared" si="6"/>
        <v>68</v>
      </c>
      <c r="T12" s="30">
        <f t="shared" si="7"/>
        <v>480</v>
      </c>
      <c r="U12" s="31">
        <f t="shared" si="8"/>
        <v>0.14166666666666666</v>
      </c>
    </row>
    <row r="13" spans="2:21" ht="18" customHeight="1">
      <c r="B13" s="32" t="str">
        <f>'Data Entry'!A13</f>
        <v>8. Cases Resulting in Probation Placement</v>
      </c>
      <c r="C13" s="33">
        <f>'Data Entry'!C13</f>
        <v>44</v>
      </c>
      <c r="D13" s="34">
        <f>IF(((AND(C70&gt;0,C13&gt;0))),(C13/(C70)),0)</f>
        <v>314.28571428571428</v>
      </c>
      <c r="E13" s="33">
        <f>'Data Entry'!J13</f>
        <v>7</v>
      </c>
      <c r="F13" s="34">
        <f>IF(((AND($D$70&gt;0,$E$13&gt;0))),($E$13/($D$70)),0)</f>
        <v>700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7</v>
      </c>
      <c r="O13" s="42">
        <f>(D70*L70)-E13</f>
        <v>-6</v>
      </c>
      <c r="P13" s="42">
        <f t="shared" si="4"/>
        <v>44</v>
      </c>
      <c r="Q13" s="42">
        <f>(C70*L70)-C13</f>
        <v>-30</v>
      </c>
      <c r="R13" s="42">
        <f t="shared" si="5"/>
        <v>15</v>
      </c>
      <c r="S13" s="30">
        <f t="shared" si="6"/>
        <v>43740</v>
      </c>
      <c r="T13" s="30">
        <f t="shared" si="7"/>
        <v>-25704</v>
      </c>
      <c r="U13" s="31">
        <f t="shared" si="8"/>
        <v>-1.7016806722689075</v>
      </c>
    </row>
    <row r="14" spans="2:21" ht="30.75" customHeight="1">
      <c r="B14" s="32" t="str">
        <f>'Data Entry'!A14</f>
        <v xml:space="preserve">9. Cases Resulting in Confinement in Secure Juvenile Correctional Facilities </v>
      </c>
      <c r="C14" s="33">
        <f>'Data Entry'!C14</f>
        <v>9</v>
      </c>
      <c r="D14" s="34">
        <f>IF(((AND(C70&gt;0,C14&gt;0))), ((C14/(C70))),0)</f>
        <v>64.285714285714278</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9</v>
      </c>
      <c r="Q14" s="42">
        <f>(C70*L70)-C14</f>
        <v>5.0000000000000018</v>
      </c>
      <c r="R14" s="42">
        <f t="shared" si="5"/>
        <v>15.000000000000002</v>
      </c>
      <c r="S14" s="30">
        <f t="shared" si="6"/>
        <v>1215.0000000000002</v>
      </c>
      <c r="T14" s="30">
        <f t="shared" si="7"/>
        <v>756.00000000000034</v>
      </c>
      <c r="U14" s="31">
        <f t="shared" si="8"/>
        <v>1.6071428571428568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16</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7.1319999999999997</v>
      </c>
      <c r="D42" s="56">
        <f>E6/1000</f>
        <v>1.05</v>
      </c>
      <c r="E42" s="56">
        <f>MAX(C42:D42)</f>
        <v>7.1319999999999997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0.63</v>
      </c>
      <c r="D44" s="56">
        <f>E8/100</f>
        <v>0.1</v>
      </c>
      <c r="E44" s="56">
        <f>MAX(C44:D44,0)</f>
        <v>0.63</v>
      </c>
      <c r="G44" s="1" t="str">
        <f>B44</f>
        <v>per 100 referrals</v>
      </c>
      <c r="L44" s="57">
        <v>100</v>
      </c>
      <c r="M44" s="57"/>
      <c r="R44" s="49"/>
    </row>
    <row r="45" spans="2:18" ht="15" hidden="1" customHeight="1">
      <c r="B45" s="49" t="s">
        <v>89</v>
      </c>
      <c r="C45" s="49">
        <f>C11/100</f>
        <v>0.16</v>
      </c>
      <c r="D45" s="49">
        <f>E11/100</f>
        <v>0.01</v>
      </c>
      <c r="E45" s="56">
        <f>MAX(C45:D45,0)</f>
        <v>0.16</v>
      </c>
      <c r="G45" s="1" t="str">
        <f>B45</f>
        <v>per 100 youth petitioned</v>
      </c>
      <c r="L45" s="57">
        <v>100</v>
      </c>
      <c r="M45" s="57"/>
      <c r="R45" s="49"/>
    </row>
    <row r="46" spans="2:18" ht="15" hidden="1" customHeight="1">
      <c r="B46" s="49" t="s">
        <v>90</v>
      </c>
      <c r="C46" s="49">
        <f>C12/100</f>
        <v>0.14000000000000001</v>
      </c>
      <c r="D46" s="49">
        <f>E12/100</f>
        <v>0.01</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7.1319999999999997</v>
      </c>
      <c r="D48" s="56">
        <f>D42</f>
        <v>1.05</v>
      </c>
      <c r="E48" s="56">
        <f>MAX(C48:D48)</f>
        <v>7.1319999999999997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0.1</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0.01</v>
      </c>
      <c r="E51" s="49">
        <f>MAX(C51:D51)</f>
        <v>0.16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0.01</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7.1319999999999997</v>
      </c>
      <c r="D54" s="56">
        <f>D48</f>
        <v>1.05</v>
      </c>
      <c r="E54" s="56">
        <f>MAX(C54:D54)</f>
        <v>7.1319999999999997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0.63</v>
      </c>
      <c r="D56" s="49">
        <f t="shared" si="10"/>
        <v>0.1</v>
      </c>
      <c r="E56" s="49">
        <f>MAX(C56:D56)</f>
        <v>0.63</v>
      </c>
      <c r="G56" s="1" t="str">
        <f>G50</f>
        <v>per 100 referrals</v>
      </c>
      <c r="L56" s="58">
        <f>IF(($E50&gt;0),L50,L49)</f>
        <v>100</v>
      </c>
      <c r="M56" s="58"/>
    </row>
    <row r="57" spans="2:18" ht="15" hidden="1" customHeight="1">
      <c r="B57" s="49" t="str">
        <f>IF(($E51&gt;0),B51,B49)</f>
        <v>per 100 youth petitioned</v>
      </c>
      <c r="C57" s="49">
        <f>IF(($E51&gt;0),C51,C50)</f>
        <v>0.16</v>
      </c>
      <c r="D57" s="49">
        <f>IF(($E51&gt;0),D51,D50)</f>
        <v>0.01</v>
      </c>
      <c r="E57" s="49">
        <f>MAX(C57:D57)</f>
        <v>0.16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0.01</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7.1319999999999997</v>
      </c>
      <c r="D60" s="56">
        <f>D54</f>
        <v>1.05</v>
      </c>
      <c r="E60" s="56">
        <f>MAX(C60:D60)</f>
        <v>7.1319999999999997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0.63</v>
      </c>
      <c r="D62" s="49">
        <f t="shared" si="11"/>
        <v>0.1</v>
      </c>
      <c r="E62" s="49">
        <f>MAX(C62:D62)</f>
        <v>0.63</v>
      </c>
      <c r="G62" s="1" t="str">
        <f>G56</f>
        <v>per 100 referrals</v>
      </c>
      <c r="L62" s="58">
        <f>IF(($E56&gt;0),L56,L55)</f>
        <v>100</v>
      </c>
      <c r="M62" s="58"/>
    </row>
    <row r="63" spans="2:18" ht="15" hidden="1" customHeight="1">
      <c r="B63" s="49" t="str">
        <f>IF(($E57&gt;0),B57,B55)</f>
        <v>per 100 youth petitioned</v>
      </c>
      <c r="C63" s="49">
        <f>IF(($E57&gt;0),C57,C56)</f>
        <v>0.16</v>
      </c>
      <c r="D63" s="49">
        <f>IF(($E57&gt;0),D57,D56)</f>
        <v>0.01</v>
      </c>
      <c r="E63" s="49">
        <f>MAX(C63:D63)</f>
        <v>0.16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0.01</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7.1319999999999997</v>
      </c>
      <c r="D66" s="56">
        <f>D60</f>
        <v>1.05</v>
      </c>
      <c r="E66" s="56">
        <f>MAX(C66:D66)</f>
        <v>7.1319999999999997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0.63</v>
      </c>
      <c r="D68" s="49">
        <f t="shared" si="12"/>
        <v>0.1</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0.01</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0.01</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Clinton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8182</v>
      </c>
      <c r="D3" s="57">
        <f>'Data Entry'!C6</f>
        <v>7132</v>
      </c>
      <c r="E3" s="57">
        <f>'Data Entry'!D6</f>
        <v>281</v>
      </c>
      <c r="F3" s="57">
        <f>'Data Entry'!E6</f>
        <v>585</v>
      </c>
      <c r="G3" s="57">
        <f>'Data Entry'!F6</f>
        <v>154</v>
      </c>
      <c r="H3" s="57">
        <f>'Data Entry'!G6</f>
        <v>0</v>
      </c>
      <c r="I3" s="57">
        <f>'Data Entry'!H6</f>
        <v>30</v>
      </c>
      <c r="J3" s="57">
        <f>'Data Entry'!I6</f>
        <v>0</v>
      </c>
      <c r="K3" s="57">
        <f>'Data Entry'!J6</f>
        <v>1050</v>
      </c>
    </row>
    <row r="4" spans="2:11" ht="15" customHeight="1">
      <c r="B4" s="16" t="s">
        <v>8</v>
      </c>
      <c r="C4" s="1">
        <f>IF((C$3&gt;0),(1000*('Data Entry'!B7/'Data Entry'!B$6)), 0)</f>
        <v>0.24443901246638963</v>
      </c>
      <c r="D4" s="1">
        <f>IF((D$3&gt;0),(1000*('Data Entry'!C7/'Data Entry'!C$6)), 0)</f>
        <v>0.28042624789680315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8.9220239550232208</v>
      </c>
      <c r="D5" s="1">
        <f>IF((D$3&gt;0),(1000*('Data Entry'!C8/'Data Entry'!C$6)), 0)</f>
        <v>8.833426808749298</v>
      </c>
      <c r="E5" s="1">
        <f>IF((E$3&gt;0),(1000*('Data Entry'!D8/'Data Entry'!D$6)), 0)</f>
        <v>35.587188612099645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9.5238095238095255</v>
      </c>
    </row>
    <row r="6" spans="2:11" ht="15" customHeight="1">
      <c r="B6" s="16" t="s">
        <v>10</v>
      </c>
      <c r="C6" s="1">
        <f>IF((C$3&gt;0),(1000*('Data Entry'!B9/'Data Entry'!B$6)), 0)</f>
        <v>0.12221950623319482</v>
      </c>
      <c r="D6" s="1">
        <f>IF((D$3&gt;0),(1000*('Data Entry'!C9/'Data Entry'!C$6)), 0)</f>
        <v>0.14021312394840157</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0.36665851869958443</v>
      </c>
      <c r="D7" s="1">
        <f>IF((D$3&gt;0),(1000*('Data Entry'!C10/'Data Entry'!C$6)), 0)</f>
        <v>0.42063937184520467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2.0777316059643121</v>
      </c>
      <c r="D8" s="1">
        <f>IF((D$3&gt;0),(1000*('Data Entry'!C11/'Data Entry'!C$6)), 0)</f>
        <v>2.2434099831744252</v>
      </c>
      <c r="E8" s="1">
        <f>IF((E$3&gt;0),(1000*('Data Entry'!D11/'Data Entry'!D$6)), 0)</f>
        <v>3.5587188612099641</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0.95238095238095233</v>
      </c>
    </row>
    <row r="9" spans="2:11" ht="15" customHeight="1">
      <c r="B9" s="16" t="s">
        <v>13</v>
      </c>
      <c r="C9" s="1">
        <f>IF((C$3&gt;0),(1000*('Data Entry'!B12/'Data Entry'!B$6)), 0)</f>
        <v>1.8332925934979223</v>
      </c>
      <c r="D9" s="1">
        <f>IF((D$3&gt;0),(1000*('Data Entry'!C12/'Data Entry'!C$6)), 0)</f>
        <v>1.962983735277622</v>
      </c>
      <c r="E9" s="1">
        <f>IF((E$3&gt;0),(1000*('Data Entry'!D12/'Data Entry'!D$6)), 0)</f>
        <v>3.5587188612099641</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0.95238095238095233</v>
      </c>
    </row>
    <row r="10" spans="2:11" ht="15" customHeight="1">
      <c r="B10" s="16" t="s">
        <v>14</v>
      </c>
      <c r="C10" s="1">
        <f>IF((C$3&gt;0),(1000*('Data Entry'!B13/'Data Entry'!B$6)), 0)</f>
        <v>6.2331948178929357</v>
      </c>
      <c r="D10" s="1">
        <f>IF((D$3&gt;0),(1000*('Data Entry'!C13/'Data Entry'!C$6)), 0)</f>
        <v>6.1693774537296697</v>
      </c>
      <c r="E10" s="1">
        <f>IF((E$3&gt;0),(1000*('Data Entry'!D13/'Data Entry'!D$6)), 0)</f>
        <v>24.911032028469752</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6.666666666666667</v>
      </c>
    </row>
    <row r="11" spans="2:11" ht="25.5" customHeight="1">
      <c r="B11" s="16" t="s">
        <v>15</v>
      </c>
      <c r="C11" s="1">
        <f>IF((C$3&gt;0),(1000*('Data Entry'!B14/'Data Entry'!B$6)), 0)</f>
        <v>1.0999755560987534</v>
      </c>
      <c r="D11" s="1">
        <f>IF((D$3&gt;0),(1000*('Data Entry'!C14/'Data Entry'!C$6)), 0)</f>
        <v>1.2619181155356143</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Clinton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4.0286957012935662</v>
      </c>
      <c r="E20" s="72" t="str">
        <f t="shared" si="2"/>
        <v>--</v>
      </c>
      <c r="F20" s="72" t="str">
        <f t="shared" si="2"/>
        <v>--</v>
      </c>
      <c r="G20" s="72" t="str">
        <f t="shared" si="2"/>
        <v>--</v>
      </c>
      <c r="H20" s="72" t="str">
        <f t="shared" si="2"/>
        <v>--</v>
      </c>
      <c r="I20" s="72" t="str">
        <f t="shared" si="2"/>
        <v>--</v>
      </c>
      <c r="J20" s="73">
        <f t="shared" si="2"/>
        <v>1.0781557067271357</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1.5862989323843415</v>
      </c>
      <c r="E23" s="72" t="str">
        <f t="shared" si="2"/>
        <v>--</v>
      </c>
      <c r="F23" s="72" t="str">
        <f t="shared" si="2"/>
        <v>--</v>
      </c>
      <c r="G23" s="72" t="str">
        <f t="shared" si="2"/>
        <v>--</v>
      </c>
      <c r="H23" s="72" t="str">
        <f t="shared" si="2"/>
        <v>--</v>
      </c>
      <c r="I23" s="72" t="str">
        <f t="shared" si="2"/>
        <v>--</v>
      </c>
      <c r="J23" s="73">
        <f t="shared" si="2"/>
        <v>0.42452380952380947</v>
      </c>
    </row>
    <row r="24" spans="2:10" ht="15" customHeight="1">
      <c r="B24" s="71" t="s">
        <v>13</v>
      </c>
      <c r="C24" s="72">
        <f t="shared" si="2"/>
        <v>1</v>
      </c>
      <c r="D24" s="72">
        <f t="shared" si="2"/>
        <v>1.8129130655821044</v>
      </c>
      <c r="E24" s="72" t="str">
        <f t="shared" si="2"/>
        <v>--</v>
      </c>
      <c r="F24" s="72" t="str">
        <f t="shared" si="2"/>
        <v>--</v>
      </c>
      <c r="G24" s="72" t="str">
        <f t="shared" si="2"/>
        <v>--</v>
      </c>
      <c r="H24" s="72" t="str">
        <f t="shared" si="2"/>
        <v>--</v>
      </c>
      <c r="I24" s="72" t="str">
        <f t="shared" si="2"/>
        <v>--</v>
      </c>
      <c r="J24" s="73">
        <f t="shared" si="2"/>
        <v>0.48517006802721085</v>
      </c>
    </row>
    <row r="25" spans="2:10" ht="15" customHeight="1">
      <c r="B25" s="71" t="s">
        <v>14</v>
      </c>
      <c r="C25" s="72">
        <f t="shared" si="2"/>
        <v>1</v>
      </c>
      <c r="D25" s="72">
        <f t="shared" si="2"/>
        <v>4.0378518278874145</v>
      </c>
      <c r="E25" s="72" t="str">
        <f t="shared" si="2"/>
        <v>--</v>
      </c>
      <c r="F25" s="72" t="str">
        <f t="shared" si="2"/>
        <v>--</v>
      </c>
      <c r="G25" s="72" t="str">
        <f t="shared" si="2"/>
        <v>--</v>
      </c>
      <c r="H25" s="72" t="str">
        <f t="shared" si="2"/>
        <v>--</v>
      </c>
      <c r="I25" s="72" t="str">
        <f t="shared" si="2"/>
        <v>--</v>
      </c>
      <c r="J25" s="73">
        <f t="shared" si="2"/>
        <v>1.0806060606060606</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Clinton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7132</v>
      </c>
      <c r="D7" s="104">
        <f>'Data Entry'!D6</f>
        <v>281</v>
      </c>
      <c r="E7" s="105"/>
      <c r="F7" s="106">
        <f>'Data Entry'!E6</f>
        <v>585</v>
      </c>
      <c r="G7" s="105"/>
      <c r="H7" s="106">
        <f>'Data Entry'!F6</f>
        <v>154</v>
      </c>
      <c r="I7" s="105"/>
      <c r="J7" s="106">
        <f>'Data Entry'!G6</f>
        <v>0</v>
      </c>
      <c r="K7" s="105"/>
      <c r="L7" s="106">
        <f>'Data Entry'!H6</f>
        <v>30</v>
      </c>
      <c r="M7" s="105"/>
      <c r="N7" s="106">
        <f>'Data Entry'!I6</f>
        <v>0</v>
      </c>
      <c r="O7" s="105"/>
      <c r="P7" s="106">
        <f>'Data Entry'!J6</f>
        <v>1050</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63</v>
      </c>
      <c r="D9" s="108">
        <f>'Data Entry'!D8</f>
        <v>10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10</v>
      </c>
      <c r="Q9" s="111" t="str">
        <f>'All Minorities'!G8</f>
        <v>**</v>
      </c>
      <c r="R9"/>
      <c r="T9" s="1">
        <f>'Black or African-American'!L8</f>
        <v>40</v>
      </c>
      <c r="U9" s="1">
        <f>Hispanic!L8</f>
        <v>40</v>
      </c>
      <c r="V9" s="1">
        <f>Asian!L8</f>
        <v>40</v>
      </c>
      <c r="W9" s="1">
        <f>Hawaiian!L8</f>
        <v>139</v>
      </c>
      <c r="X9" s="1">
        <f>'Am Indian'!L8</f>
        <v>139</v>
      </c>
      <c r="Y9" s="1">
        <f>'Other - Mixed'!L8</f>
        <v>139</v>
      </c>
      <c r="Z9" s="1">
        <f>'All Minorities'!L8</f>
        <v>40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16</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14</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44</v>
      </c>
      <c r="D14" s="112">
        <f>'Data Entry'!D13</f>
        <v>7</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7</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9</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Clinton</v>
      </c>
    </row>
    <row r="6" spans="1:12">
      <c r="A6" s="135" t="str">
        <f>CONCATENATE("Percentage of Minorities at Stages of the Juvenile Justice System, ", A5, " 2024")</f>
        <v>Percentage of Minorities at Stages of the Juvenile Justice System, County: Clinton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6.7923809523809524</v>
      </c>
    </row>
    <row r="8" spans="1:12" ht="25.5" customHeight="1">
      <c r="A8" s="151" t="str">
        <f>CONCATENATE("Confinement, total N=", 'Data Entry'!B14)</f>
        <v>Confinement, total N=9</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N=9</v>
      </c>
      <c r="L8">
        <f>I14/(SUM(B14:G14))</f>
        <v>6.7923809523809524</v>
      </c>
    </row>
    <row r="9" spans="1:12">
      <c r="A9" s="128" t="str">
        <f>CONCATENATE("Delinquent Findings, total N=", 'Data Entry'!B12)</f>
        <v>Delinquent Findings, total N=15</v>
      </c>
      <c r="B9" s="150">
        <f>'Data Entry'!D12/'Data Entry'!B12</f>
        <v>6.6666666666666666E-2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0.93333333333333335</v>
      </c>
      <c r="K9" s="96" t="str">
        <f t="shared" si="0"/>
        <v>Delinquent Findings, total N=15</v>
      </c>
      <c r="L9">
        <f>I14/(SUM(B14:G14))</f>
        <v>6.7923809523809524</v>
      </c>
    </row>
    <row r="10" spans="1:12">
      <c r="A10" s="128" t="str">
        <f>CONCATENATE("Petitions, total N=", 'Data Entry'!B11)</f>
        <v>Petitions, total N=17</v>
      </c>
      <c r="B10" s="150">
        <f>'Data Entry'!D11/'Data Entry'!B11</f>
        <v>5.8823529411764705E-2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0.94117647058823528</v>
      </c>
      <c r="K10" s="96" t="str">
        <f t="shared" si="0"/>
        <v>Petitions, total N=17</v>
      </c>
      <c r="L10">
        <f>I14/(SUM(B14:G14))</f>
        <v>6.7923809523809524</v>
      </c>
    </row>
    <row r="11" spans="1:12">
      <c r="A11" s="128" t="str">
        <f>CONCATENATE("Detentions, total N=", 'Data Entry'!B10)</f>
        <v>Detentions, total N=3</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N=3</v>
      </c>
      <c r="L11">
        <f>I14/(SUM(B14:G14))</f>
        <v>6.7923809523809524</v>
      </c>
    </row>
    <row r="12" spans="1:12">
      <c r="A12" s="128" t="str">
        <f>CONCATENATE("Referrals, total N=", 'Data Entry'!B8)</f>
        <v>Referrals, total N=73</v>
      </c>
      <c r="B12" s="150">
        <f>'Data Entry'!D8/'Data Entry'!B8</f>
        <v>0.13698630136986301</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0.86301369863013699</v>
      </c>
      <c r="K12" s="96" t="str">
        <f t="shared" si="0"/>
        <v>Referrals, total N=73</v>
      </c>
      <c r="L12">
        <f>I14/(SUM(B14:G14))</f>
        <v>6.7923809523809524</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v>
      </c>
      <c r="L13">
        <f>I14/(SUM(B14:G14))</f>
        <v>6.7923809523809524</v>
      </c>
    </row>
    <row r="14" spans="1:12">
      <c r="A14" s="128" t="str">
        <f>CONCATENATE("Population, total N=", 'Data Entry'!B6)</f>
        <v>Population, total N=8182</v>
      </c>
      <c r="B14" s="150">
        <f>'Data Entry'!D6/'Data Entry'!B6</f>
        <v>3.4343681251527744E-2</v>
      </c>
      <c r="C14" s="150">
        <f>'Data Entry'!E6/'Data Entry'!B6</f>
        <v>7.1498411146418972E-2</v>
      </c>
      <c r="D14" s="150">
        <f>'Data Entry'!F6/'Data Entry'!B6</f>
        <v>1.8821803959912002E-2</v>
      </c>
      <c r="E14" s="150">
        <f>'Data Entry'!G6/'Data Entry'!B6</f>
        <v>0</v>
      </c>
      <c r="F14" s="150">
        <f>'Data Entry'!H6/'Data Entry'!B6</f>
        <v>3.6665851869958446E-3</v>
      </c>
      <c r="G14" s="150">
        <f>'Data Entry'!I6/'Data Entry'!B6</f>
        <v>0</v>
      </c>
      <c r="H14" s="150">
        <f>SUM(D14:G14)/'Data Entry'!B6</f>
        <v>2.7485198175150145E-6</v>
      </c>
      <c r="I14" s="150">
        <f>'Data Entry'!C6/'Data Entry'!B6</f>
        <v>0.8716695184551454</v>
      </c>
      <c r="K14" s="96" t="str">
        <f t="shared" si="0"/>
        <v>Population, total N=8182</v>
      </c>
      <c r="L14">
        <f>I14/(SUM(B14:G14))</f>
        <v>6.7923809523809524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Clinton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7132</v>
      </c>
      <c r="D7" s="104">
        <f>'Data Entry'!D6</f>
        <v>281</v>
      </c>
      <c r="E7" s="105"/>
      <c r="F7" s="106">
        <f>'Data Entry'!E6</f>
        <v>585</v>
      </c>
      <c r="G7" s="105"/>
      <c r="H7" s="106">
        <f>'Data Entry'!F6</f>
        <v>154</v>
      </c>
      <c r="I7" s="105"/>
      <c r="J7" s="106">
        <f>'Data Entry'!J6</f>
        <v>1050</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63</v>
      </c>
      <c r="D9" s="108">
        <f>'Data Entry'!D8</f>
        <v>10</v>
      </c>
      <c r="E9" s="109" t="str">
        <f>'Black or African-American'!$G8</f>
        <v>**</v>
      </c>
      <c r="F9" s="110">
        <f>'Data Entry'!E8</f>
        <v>0</v>
      </c>
      <c r="G9" s="109" t="str">
        <f>Hispanic!G8</f>
        <v>**</v>
      </c>
      <c r="H9" s="110">
        <f>'Data Entry'!F8</f>
        <v>0</v>
      </c>
      <c r="I9" s="109" t="str">
        <f>Asian!G8</f>
        <v>**</v>
      </c>
      <c r="J9" s="110">
        <f>'Data Entry'!J8</f>
        <v>10</v>
      </c>
      <c r="K9" s="111" t="str">
        <f>'All Minorities'!G8</f>
        <v>**</v>
      </c>
      <c r="L9"/>
      <c r="N9" s="1">
        <f>'Black or African-American'!L8</f>
        <v>40</v>
      </c>
      <c r="O9" s="1">
        <f>Hispanic!L8</f>
        <v>40</v>
      </c>
      <c r="P9" s="1">
        <f>Asian!L8</f>
        <v>40</v>
      </c>
      <c r="Q9" s="1">
        <f>Hawaiian!L8</f>
        <v>139</v>
      </c>
      <c r="R9" s="1">
        <f>'Am Indian'!L8</f>
        <v>139</v>
      </c>
      <c r="S9" s="1">
        <f>'Other - Mixed'!L8</f>
        <v>139</v>
      </c>
      <c r="T9" s="1">
        <f>'All Minorities'!L8</f>
        <v>40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16</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14</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44</v>
      </c>
      <c r="D14" s="112">
        <f>'Data Entry'!D13</f>
        <v>7</v>
      </c>
      <c r="E14" s="113" t="str">
        <f>'Black or African-American'!$G13</f>
        <v>**</v>
      </c>
      <c r="F14" s="114">
        <f>'Data Entry'!E13</f>
        <v>0</v>
      </c>
      <c r="G14" s="113" t="str">
        <f>Hispanic!G13</f>
        <v>--</v>
      </c>
      <c r="H14" s="114">
        <f>'Data Entry'!F13</f>
        <v>0</v>
      </c>
      <c r="I14" s="113" t="str">
        <f>Asian!G13</f>
        <v>--</v>
      </c>
      <c r="J14" s="114">
        <f>'Data Entry'!J13</f>
        <v>7</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9</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7132</v>
      </c>
      <c r="D6" s="34"/>
      <c r="E6" s="33">
        <f>'Data Entry'!D6</f>
        <v>281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0.28042624789680315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281</v>
      </c>
      <c r="P7" s="42">
        <f t="shared" ref="P7:P15" si="2">C7</f>
        <v>2</v>
      </c>
      <c r="Q7" s="42">
        <f>C6-C7</f>
        <v>7130</v>
      </c>
      <c r="R7" s="42">
        <f t="shared" ref="R7:R15" si="3">SUM(N7:Q7)</f>
        <v>7413</v>
      </c>
      <c r="S7" s="30">
        <f t="shared" ref="S7:S15" si="4">R7*((((N7*Q7)-(O7*P7))^2))</f>
        <v>2341351572</v>
      </c>
      <c r="T7" s="30">
        <f t="shared" ref="T7:T15" si="5">(N7+O7)*(P7+Q7)*(N7+P7)*(O7+Q7)</f>
        <v>29704651624</v>
      </c>
      <c r="U7" s="31">
        <f t="shared" ref="U7:U15" si="6">IF((S7&gt;0),S7/T7,"- -")</f>
        <v>7.8821041284601198E-2</v>
      </c>
    </row>
    <row r="8" spans="2:21" ht="18" customHeight="1">
      <c r="B8" s="32" t="str">
        <f>'Data Entry'!A8</f>
        <v>3. Refer to Juvenile Court</v>
      </c>
      <c r="C8" s="33">
        <f>'Data Entry'!C8</f>
        <v>63</v>
      </c>
      <c r="D8" s="34">
        <f>IF((AND(C67&gt;0,C8&gt;0)),(C8/C67),0)</f>
        <v>3150</v>
      </c>
      <c r="E8" s="33">
        <f>'Data Entry'!D8</f>
        <v>10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10</v>
      </c>
      <c r="O8" s="42">
        <f>((D67*L67)-E8)+0.05</f>
        <v>-9.9499999999999993</v>
      </c>
      <c r="P8" s="42">
        <f t="shared" si="2"/>
        <v>63</v>
      </c>
      <c r="Q8" s="42">
        <f>(C$67*L67)-C8</f>
        <v>-61</v>
      </c>
      <c r="R8" s="42">
        <f t="shared" si="3"/>
        <v>2.0499999999999972</v>
      </c>
      <c r="S8" s="30">
        <f t="shared" si="4"/>
        <v>582.04112499999292</v>
      </c>
      <c r="T8" s="30">
        <f t="shared" si="5"/>
        <v>-517.93500000000734</v>
      </c>
      <c r="U8" s="31">
        <f t="shared" si="6"/>
        <v>-1.1237725293714167</v>
      </c>
    </row>
    <row r="9" spans="2:21" ht="18" customHeight="1">
      <c r="B9" s="32" t="str">
        <f>'Data Entry'!A9</f>
        <v xml:space="preserve">4. Cases Diverted </v>
      </c>
      <c r="C9" s="33">
        <f>'Data Entry'!C9</f>
        <v>1</v>
      </c>
      <c r="D9" s="34">
        <f>IF((AND(C68&gt;0,C9&gt;0)),((C9/C68)),0)</f>
        <v>1.5873015873015872</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10</v>
      </c>
      <c r="P9" s="42">
        <f t="shared" si="2"/>
        <v>1</v>
      </c>
      <c r="Q9" s="42">
        <f>(C$68*L68)-C9</f>
        <v>62</v>
      </c>
      <c r="R9" s="42">
        <f t="shared" si="3"/>
        <v>73</v>
      </c>
      <c r="S9" s="30">
        <f t="shared" si="4"/>
        <v>7300</v>
      </c>
      <c r="T9" s="30">
        <f t="shared" si="5"/>
        <v>45360</v>
      </c>
      <c r="U9" s="31">
        <f t="shared" si="6"/>
        <v>0.16093474426807761</v>
      </c>
    </row>
    <row r="10" spans="2:21" ht="18" customHeight="1">
      <c r="B10" s="32" t="str">
        <f>'Data Entry'!A10</f>
        <v>5. Cases Involving Secure Detention</v>
      </c>
      <c r="C10" s="33">
        <f>'Data Entry'!C10</f>
        <v>3</v>
      </c>
      <c r="D10" s="34">
        <f>IF(((AND(C68&gt;0,C10&gt;0))),(C10/(C68)),0)</f>
        <v>4.7619047619047619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10</v>
      </c>
      <c r="P10" s="42">
        <f t="shared" si="2"/>
        <v>3</v>
      </c>
      <c r="Q10" s="42">
        <f>(C$68*L68)-C10</f>
        <v>60</v>
      </c>
      <c r="R10" s="42">
        <f t="shared" si="3"/>
        <v>73</v>
      </c>
      <c r="S10" s="30">
        <f t="shared" si="4"/>
        <v>65700</v>
      </c>
      <c r="T10" s="30">
        <f t="shared" si="5"/>
        <v>132300</v>
      </c>
      <c r="U10" s="31">
        <f t="shared" si="6"/>
        <v>0.49659863945578231</v>
      </c>
    </row>
    <row r="11" spans="2:21" ht="18" customHeight="1">
      <c r="B11" s="32" t="str">
        <f>'Data Entry'!A11</f>
        <v>6. Cases Petitioned (Charge Filed)</v>
      </c>
      <c r="C11" s="33">
        <f>'Data Entry'!C11</f>
        <v>16</v>
      </c>
      <c r="D11" s="34">
        <f>IF(((AND(C68&gt;0,C11&gt;0))),(C11/(C68)),0)</f>
        <v>25.396825396825395</v>
      </c>
      <c r="E11" s="33">
        <f>'Data Entry'!D11</f>
        <v>1</v>
      </c>
      <c r="F11" s="34">
        <f>IF(((AND($E$11&gt;0,$D$68&gt;0))),($E$11/($D$68)),0)</f>
        <v>10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9</v>
      </c>
      <c r="P11" s="42">
        <f t="shared" si="2"/>
        <v>16</v>
      </c>
      <c r="Q11" s="42">
        <f>(C$68*L68)-C11</f>
        <v>47</v>
      </c>
      <c r="R11" s="42">
        <f t="shared" si="3"/>
        <v>73</v>
      </c>
      <c r="S11" s="30">
        <f t="shared" si="4"/>
        <v>686857</v>
      </c>
      <c r="T11" s="30">
        <f t="shared" si="5"/>
        <v>599760</v>
      </c>
      <c r="U11" s="31">
        <f t="shared" si="6"/>
        <v>1.1452197545684941</v>
      </c>
    </row>
    <row r="12" spans="2:21" ht="18" customHeight="1">
      <c r="B12" s="32" t="str">
        <f>'Data Entry'!A12</f>
        <v>7. Cases Resulting in Delinquent Findings</v>
      </c>
      <c r="C12" s="33">
        <f>'Data Entry'!C12</f>
        <v>14</v>
      </c>
      <c r="D12" s="34">
        <f>IF(((AND(C69&gt;0,C12&gt;0))),(C12/(C69)),0)</f>
        <v>87.5</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14</v>
      </c>
      <c r="Q12" s="42">
        <f>(C69*L69)-C12</f>
        <v>2</v>
      </c>
      <c r="R12" s="42">
        <f t="shared" si="3"/>
        <v>17</v>
      </c>
      <c r="S12" s="30">
        <f t="shared" si="4"/>
        <v>68</v>
      </c>
      <c r="T12" s="30">
        <f t="shared" si="5"/>
        <v>480</v>
      </c>
      <c r="U12" s="31">
        <f t="shared" si="6"/>
        <v>0.14166666666666666</v>
      </c>
    </row>
    <row r="13" spans="2:21" ht="18" customHeight="1">
      <c r="B13" s="32" t="str">
        <f>'Data Entry'!A13</f>
        <v>8. Cases Resulting in Probation Placement</v>
      </c>
      <c r="C13" s="33">
        <f>'Data Entry'!C13</f>
        <v>44</v>
      </c>
      <c r="D13" s="34">
        <f>IF(((AND(C70&gt;0,C13&gt;0))),(C13/(C70)),0)</f>
        <v>314.28571428571428</v>
      </c>
      <c r="E13" s="33">
        <f>'Data Entry'!D13</f>
        <v>7</v>
      </c>
      <c r="F13" s="34">
        <f>IF(((AND($D$70&gt;0,$E$13&gt;0))),($E$13/($D$70)),0)</f>
        <v>700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7</v>
      </c>
      <c r="O13" s="42">
        <f>(D70*L70)-E13</f>
        <v>-6</v>
      </c>
      <c r="P13" s="42">
        <f t="shared" si="2"/>
        <v>44</v>
      </c>
      <c r="Q13" s="42">
        <f>(C70*L70)-C13</f>
        <v>-30</v>
      </c>
      <c r="R13" s="42">
        <f t="shared" si="3"/>
        <v>15</v>
      </c>
      <c r="S13" s="30">
        <f t="shared" si="4"/>
        <v>43740</v>
      </c>
      <c r="T13" s="30">
        <f t="shared" si="5"/>
        <v>-25704</v>
      </c>
      <c r="U13" s="31">
        <f t="shared" si="6"/>
        <v>-1.7016806722689075</v>
      </c>
    </row>
    <row r="14" spans="2:21" ht="30.75" customHeight="1">
      <c r="B14" s="32" t="str">
        <f>'Data Entry'!A14</f>
        <v xml:space="preserve">9. Cases Resulting in Confinement in Secure Juvenile Correctional Facilities </v>
      </c>
      <c r="C14" s="33">
        <f>'Data Entry'!C14</f>
        <v>9</v>
      </c>
      <c r="D14" s="34">
        <f>IF(((AND(C70&gt;0,C14&gt;0))), ((C14/(C70))),0)</f>
        <v>64.285714285714278</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9</v>
      </c>
      <c r="Q14" s="42">
        <f>(C70*L70)-C14</f>
        <v>5.0000000000000018</v>
      </c>
      <c r="R14" s="42">
        <f t="shared" si="3"/>
        <v>15.000000000000002</v>
      </c>
      <c r="S14" s="30">
        <f t="shared" si="4"/>
        <v>1215.0000000000002</v>
      </c>
      <c r="T14" s="30">
        <f t="shared" si="5"/>
        <v>756.00000000000034</v>
      </c>
      <c r="U14" s="31">
        <f t="shared" si="6"/>
        <v>1.6071428571428568</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16</v>
      </c>
      <c r="R15" s="42">
        <f t="shared" si="3"/>
        <v>17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7.1319999999999997</v>
      </c>
      <c r="D42" s="56">
        <f>E6/1000</f>
        <v>0.28100000000000003</v>
      </c>
      <c r="E42" s="56">
        <f>MAX(C42:D42)</f>
        <v>7.1319999999999997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0.63</v>
      </c>
      <c r="D44" s="56">
        <f>E8/100</f>
        <v>0.1</v>
      </c>
      <c r="E44" s="56">
        <f>MAX(C44:D44,0)</f>
        <v>0.63</v>
      </c>
      <c r="G44" s="1" t="str">
        <f>B44</f>
        <v>per 100 referrals</v>
      </c>
      <c r="L44" s="57">
        <v>100</v>
      </c>
      <c r="M44" s="57"/>
      <c r="R44" s="49"/>
    </row>
    <row r="45" spans="2:18" ht="15" hidden="1" customHeight="1">
      <c r="B45" s="49" t="s">
        <v>89</v>
      </c>
      <c r="C45" s="49">
        <f>C11/100</f>
        <v>0.16</v>
      </c>
      <c r="D45" s="49">
        <f>E11/100</f>
        <v>0.01</v>
      </c>
      <c r="E45" s="56">
        <f>MAX(C45:D45,0)</f>
        <v>0.16</v>
      </c>
      <c r="G45" s="1" t="str">
        <f>B45</f>
        <v>per 100 youth petitioned</v>
      </c>
      <c r="L45" s="57">
        <v>100</v>
      </c>
      <c r="M45" s="57"/>
      <c r="R45" s="49"/>
    </row>
    <row r="46" spans="2:18" ht="15" hidden="1" customHeight="1">
      <c r="B46" s="49" t="s">
        <v>90</v>
      </c>
      <c r="C46" s="49">
        <f>C12/100</f>
        <v>0.14000000000000001</v>
      </c>
      <c r="D46" s="49">
        <f>E12/100</f>
        <v>0.01</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7.1319999999999997</v>
      </c>
      <c r="D48" s="56">
        <f>D42</f>
        <v>0.28100000000000003</v>
      </c>
      <c r="E48" s="56">
        <f>MAX(C48:D48)</f>
        <v>7.1319999999999997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0.1</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0.01</v>
      </c>
      <c r="E51" s="49">
        <f>MAX(C51:D51)</f>
        <v>0.16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0.01</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7.1319999999999997</v>
      </c>
      <c r="D54" s="56">
        <f>D48</f>
        <v>0.28100000000000003</v>
      </c>
      <c r="E54" s="56">
        <f>MAX(C54:D54)</f>
        <v>7.1319999999999997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0.63</v>
      </c>
      <c r="D56" s="49">
        <f t="shared" si="10"/>
        <v>0.1</v>
      </c>
      <c r="E56" s="49">
        <f>MAX(C56:D56)</f>
        <v>0.63</v>
      </c>
      <c r="G56" s="1" t="str">
        <f>G50</f>
        <v>per 100 referrals</v>
      </c>
      <c r="L56" s="58">
        <f>IF(($E50&gt;0),L50,L49)</f>
        <v>100</v>
      </c>
      <c r="M56" s="58"/>
    </row>
    <row r="57" spans="2:18" ht="15" hidden="1" customHeight="1">
      <c r="B57" s="49" t="str">
        <f>IF(($E51&gt;0),B51,B49)</f>
        <v>per 100 youth petitioned</v>
      </c>
      <c r="C57" s="49">
        <f>IF(($E51&gt;0),C51,C50)</f>
        <v>0.16</v>
      </c>
      <c r="D57" s="49">
        <f>IF(($E51&gt;0),D51,D50)</f>
        <v>0.01</v>
      </c>
      <c r="E57" s="49">
        <f>MAX(C57:D57)</f>
        <v>0.16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0.01</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7.1319999999999997</v>
      </c>
      <c r="D60" s="56">
        <f>D54</f>
        <v>0.28100000000000003</v>
      </c>
      <c r="E60" s="56">
        <f>MAX(C60:D60)</f>
        <v>7.1319999999999997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0.63</v>
      </c>
      <c r="D62" s="49">
        <f t="shared" si="11"/>
        <v>0.1</v>
      </c>
      <c r="E62" s="49">
        <f>MAX(C62:D62)</f>
        <v>0.63</v>
      </c>
      <c r="G62" s="1" t="str">
        <f>G56</f>
        <v>per 100 referrals</v>
      </c>
      <c r="L62" s="58">
        <f>IF(($E56&gt;0),L56,L55)</f>
        <v>100</v>
      </c>
      <c r="M62" s="58"/>
    </row>
    <row r="63" spans="2:18" ht="15" hidden="1" customHeight="1">
      <c r="B63" s="49" t="str">
        <f>IF(($E57&gt;0),B57,B55)</f>
        <v>per 100 youth petitioned</v>
      </c>
      <c r="C63" s="49">
        <f>IF(($E57&gt;0),C57,C56)</f>
        <v>0.16</v>
      </c>
      <c r="D63" s="49">
        <f>IF(($E57&gt;0),D57,D56)</f>
        <v>0.01</v>
      </c>
      <c r="E63" s="49">
        <f>MAX(C63:D63)</f>
        <v>0.16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0.01</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7.1319999999999997</v>
      </c>
      <c r="D66" s="56">
        <f>D60</f>
        <v>0.28100000000000003</v>
      </c>
      <c r="E66" s="56">
        <f>MAX(C66:D66)</f>
        <v>7.1319999999999997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0.63</v>
      </c>
      <c r="D68" s="49">
        <f t="shared" si="12"/>
        <v>0.1</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0.01</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0.01</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7132</v>
      </c>
      <c r="D6" s="34"/>
      <c r="E6" s="33">
        <f>'Data Entry'!F6</f>
        <v>154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0.28042624789680315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154</v>
      </c>
      <c r="P7" s="42">
        <f t="shared" ref="P7:P15" si="4">C7</f>
        <v>2</v>
      </c>
      <c r="Q7" s="42">
        <f>C6-C7</f>
        <v>7130</v>
      </c>
      <c r="R7" s="42">
        <f t="shared" ref="R7:R15" si="5">SUM(N7:Q7)</f>
        <v>7286</v>
      </c>
      <c r="S7" s="30">
        <f t="shared" ref="S7:S15" si="6">R7*((((N7*Q7)-(O7*P7))^2))</f>
        <v>691179104</v>
      </c>
      <c r="T7" s="30">
        <f t="shared" ref="T7:T15" si="7">(N7+O7)*(P7+Q7)*(N7+P7)*(O7+Q7)</f>
        <v>16000442304</v>
      </c>
      <c r="U7" s="31">
        <f t="shared" ref="U7:U15" si="8">IF((S7&gt;0),S7/T7,"- -")</f>
        <v>4.319749984831419E-2</v>
      </c>
    </row>
    <row r="8" spans="2:21" ht="18" customHeight="1">
      <c r="B8" s="32" t="str">
        <f>'Data Entry'!A8</f>
        <v>3. Refer to Juvenile Court</v>
      </c>
      <c r="C8" s="33">
        <f>'Data Entry'!C8</f>
        <v>63</v>
      </c>
      <c r="D8" s="34">
        <f>IF((AND(C67&gt;0,C8&gt;0)),(C8/C67),0)</f>
        <v>3150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63</v>
      </c>
      <c r="Q8" s="42">
        <f>(C$67*L67)-C8</f>
        <v>-61</v>
      </c>
      <c r="R8" s="42">
        <f t="shared" si="5"/>
        <v>2.0499999999999972</v>
      </c>
      <c r="S8" s="30">
        <f t="shared" si="6"/>
        <v>20.341124999999977</v>
      </c>
      <c r="T8" s="30">
        <f t="shared" si="7"/>
        <v>-383.98500000000007</v>
      </c>
      <c r="U8" s="31">
        <f t="shared" si="8"/>
        <v>-5.2973748974569246E-2</v>
      </c>
    </row>
    <row r="9" spans="2:21" ht="18" customHeight="1">
      <c r="B9" s="32" t="str">
        <f>'Data Entry'!A9</f>
        <v xml:space="preserve">4. Cases Diverted </v>
      </c>
      <c r="C9" s="33">
        <f>'Data Entry'!C9</f>
        <v>1</v>
      </c>
      <c r="D9" s="34">
        <f>IF((AND(C68&gt;0,C9&gt;0)),((C9/C68)),0)</f>
        <v>1.5873015873015872</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62</v>
      </c>
      <c r="R9" s="42">
        <f t="shared" si="5"/>
        <v>63</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4.7619047619047619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60</v>
      </c>
      <c r="R10" s="42">
        <f t="shared" si="5"/>
        <v>63</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25.396825396825395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47</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87.5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2</v>
      </c>
      <c r="R12" s="42">
        <f t="shared" si="5"/>
        <v>16</v>
      </c>
      <c r="S12" s="30">
        <f t="shared" si="6"/>
        <v>0</v>
      </c>
      <c r="T12" s="30">
        <f t="shared" si="7"/>
        <v>0</v>
      </c>
      <c r="U12" s="31" t="str">
        <f t="shared" si="8"/>
        <v>- -</v>
      </c>
    </row>
    <row r="13" spans="2:21" ht="18" customHeight="1">
      <c r="B13" s="32" t="str">
        <f>'Data Entry'!A13</f>
        <v>8. Cases Resulting in Probation Placement</v>
      </c>
      <c r="C13" s="33">
        <f>'Data Entry'!C13</f>
        <v>44</v>
      </c>
      <c r="D13" s="34">
        <f>IF(((AND(C70&gt;0,C13&gt;0))),(C13/(C70)),0)</f>
        <v>314.28571428571428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44</v>
      </c>
      <c r="Q13" s="42">
        <f>(C70*L70)-C13</f>
        <v>-30</v>
      </c>
      <c r="R13" s="42">
        <f t="shared" si="5"/>
        <v>14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64.285714285714278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5.0000000000000018</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7.1319999999999997</v>
      </c>
      <c r="D42" s="56">
        <f>E6/1000</f>
        <v>0.154</v>
      </c>
      <c r="E42" s="56">
        <f>MAX(C42:D42)</f>
        <v>7.1319999999999997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7.1319999999999997</v>
      </c>
      <c r="D48" s="56">
        <f>D42</f>
        <v>0.154</v>
      </c>
      <c r="E48" s="56">
        <f>MAX(C48:D48)</f>
        <v>7.1319999999999997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7.1319999999999997</v>
      </c>
      <c r="D54" s="56">
        <f>D48</f>
        <v>0.154</v>
      </c>
      <c r="E54" s="56">
        <f>MAX(C54:D54)</f>
        <v>7.1319999999999997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7.1319999999999997</v>
      </c>
      <c r="D60" s="56">
        <f>D54</f>
        <v>0.154</v>
      </c>
      <c r="E60" s="56">
        <f>MAX(C60:D60)</f>
        <v>7.1319999999999997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7.1319999999999997</v>
      </c>
      <c r="D66" s="56">
        <f>D60</f>
        <v>0.154</v>
      </c>
      <c r="E66" s="56">
        <f>MAX(C66:D66)</f>
        <v>7.1319999999999997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7132</v>
      </c>
      <c r="D6" s="34"/>
      <c r="E6" s="33">
        <f>'Data Entry'!E6</f>
        <v>585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0.28042624789680315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585</v>
      </c>
      <c r="P7" s="42">
        <f t="shared" ref="P7:P15" si="4">C7</f>
        <v>2</v>
      </c>
      <c r="Q7" s="42">
        <f>C6-C7</f>
        <v>7130</v>
      </c>
      <c r="R7" s="42">
        <f t="shared" ref="R7:R15" si="5">SUM(N7:Q7)</f>
        <v>7717</v>
      </c>
      <c r="S7" s="30">
        <f t="shared" ref="S7:S15" si="6">R7*((((N7*Q7)-(O7*P7))^2))</f>
        <v>10563801300</v>
      </c>
      <c r="T7" s="30">
        <f t="shared" ref="T7:T15" si="7">(N7+O7)*(P7+Q7)*(N7+P7)*(O7+Q7)</f>
        <v>64377354600</v>
      </c>
      <c r="U7" s="31">
        <f t="shared" ref="U7:U15" si="8">IF((S7&gt;0),S7/T7,"- -")</f>
        <v>0.16409188239617414</v>
      </c>
    </row>
    <row r="8" spans="2:21" ht="18" customHeight="1">
      <c r="B8" s="32" t="str">
        <f>'Data Entry'!A8</f>
        <v>3. Refer to Juvenile Court</v>
      </c>
      <c r="C8" s="33">
        <f>'Data Entry'!C8</f>
        <v>63</v>
      </c>
      <c r="D8" s="34">
        <f>IF((AND(C67&gt;0,C8&gt;0)),(C8/C67),0)</f>
        <v>3150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63</v>
      </c>
      <c r="Q8" s="42">
        <f>(C$67*L67)-C8</f>
        <v>-61</v>
      </c>
      <c r="R8" s="42">
        <f t="shared" si="5"/>
        <v>2.0499999999999972</v>
      </c>
      <c r="S8" s="30">
        <f t="shared" si="6"/>
        <v>20.341124999999977</v>
      </c>
      <c r="T8" s="30">
        <f t="shared" si="7"/>
        <v>-383.98500000000007</v>
      </c>
      <c r="U8" s="31">
        <f t="shared" si="8"/>
        <v>-5.2973748974569246E-2</v>
      </c>
    </row>
    <row r="9" spans="2:21" ht="18" customHeight="1">
      <c r="B9" s="32" t="str">
        <f>'Data Entry'!A9</f>
        <v xml:space="preserve">4. Cases Diverted </v>
      </c>
      <c r="C9" s="33">
        <f>'Data Entry'!C9</f>
        <v>1</v>
      </c>
      <c r="D9" s="34">
        <f>IF((AND(C68&gt;0,C9&gt;0)),((C9/C68)),0)</f>
        <v>1.5873015873015872</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62</v>
      </c>
      <c r="R9" s="42">
        <f t="shared" si="5"/>
        <v>63</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4.7619047619047619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60</v>
      </c>
      <c r="R10" s="42">
        <f t="shared" si="5"/>
        <v>63</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25.396825396825395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47</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87.5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2</v>
      </c>
      <c r="R12" s="42">
        <f t="shared" si="5"/>
        <v>16</v>
      </c>
      <c r="S12" s="30">
        <f t="shared" si="6"/>
        <v>0</v>
      </c>
      <c r="T12" s="30">
        <f t="shared" si="7"/>
        <v>0</v>
      </c>
      <c r="U12" s="31" t="str">
        <f t="shared" si="8"/>
        <v>- -</v>
      </c>
    </row>
    <row r="13" spans="2:21" ht="18" customHeight="1">
      <c r="B13" s="32" t="str">
        <f>'Data Entry'!A13</f>
        <v>8. Cases Resulting in Probation Placement</v>
      </c>
      <c r="C13" s="33">
        <f>'Data Entry'!C13</f>
        <v>44</v>
      </c>
      <c r="D13" s="34">
        <f>IF(((AND(C70&gt;0,C13&gt;0))),(C13/(C70)),0)</f>
        <v>314.28571428571428</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44</v>
      </c>
      <c r="Q13" s="42">
        <f>(C70*L70)-C13</f>
        <v>-30</v>
      </c>
      <c r="R13" s="42">
        <f t="shared" si="5"/>
        <v>14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64.285714285714278</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5.0000000000000018</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7.1319999999999997</v>
      </c>
      <c r="D42" s="56">
        <f>E6/1000</f>
        <v>0.58499999999999996</v>
      </c>
      <c r="E42" s="56">
        <f>MAX(C42:D42)</f>
        <v>7.1319999999999997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7.1319999999999997</v>
      </c>
      <c r="D48" s="56">
        <f>D42</f>
        <v>0.58499999999999996</v>
      </c>
      <c r="E48" s="56">
        <f>MAX(C48:D48)</f>
        <v>7.1319999999999997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7.1319999999999997</v>
      </c>
      <c r="D54" s="56">
        <f>D48</f>
        <v>0.58499999999999996</v>
      </c>
      <c r="E54" s="56">
        <f>MAX(C54:D54)</f>
        <v>7.1319999999999997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7.1319999999999997</v>
      </c>
      <c r="D60" s="56">
        <f>D54</f>
        <v>0.58499999999999996</v>
      </c>
      <c r="E60" s="56">
        <f>MAX(C60:D60)</f>
        <v>7.1319999999999997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7.1319999999999997</v>
      </c>
      <c r="D66" s="56">
        <f>D60</f>
        <v>0.58499999999999996</v>
      </c>
      <c r="E66" s="56">
        <f>MAX(C66:D66)</f>
        <v>7.1319999999999997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7132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0.28042624789680315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7130</v>
      </c>
      <c r="R7" s="42">
        <f t="shared" ref="R7:R15" si="5">SUM(N7:Q7)</f>
        <v>7132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63</v>
      </c>
      <c r="D8" s="34">
        <f>IF((AND(C67&gt;0,C8&gt;0)),(C8/C67),0)</f>
        <v>3150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-61</v>
      </c>
      <c r="R8" s="42">
        <f t="shared" si="5"/>
        <v>2.0499999999999972</v>
      </c>
      <c r="S8" s="30">
        <f t="shared" si="6"/>
        <v>20.341124999999977</v>
      </c>
      <c r="T8" s="30">
        <f t="shared" si="7"/>
        <v>-383.98500000000007</v>
      </c>
      <c r="U8" s="31">
        <f t="shared" si="8"/>
        <v>-5.2973748974569246E-2</v>
      </c>
    </row>
    <row r="9" spans="2:21" ht="18" customHeight="1">
      <c r="B9" s="32" t="str">
        <f>'Data Entry'!A9</f>
        <v xml:space="preserve">4. Cases Diverted </v>
      </c>
      <c r="C9" s="33">
        <f>'Data Entry'!C9</f>
        <v>1</v>
      </c>
      <c r="D9" s="34">
        <f>IF((AND(C68&gt;0,C9&gt;0)),((C9/C68)),0)</f>
        <v>1.5873015873015872</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62</v>
      </c>
      <c r="R9" s="42">
        <f t="shared" si="5"/>
        <v>63</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4.7619047619047619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60</v>
      </c>
      <c r="R10" s="42">
        <f t="shared" si="5"/>
        <v>63</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25.396825396825395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47</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2</v>
      </c>
      <c r="R12" s="42">
        <f t="shared" si="5"/>
        <v>16</v>
      </c>
      <c r="S12" s="30">
        <f t="shared" si="6"/>
        <v>0</v>
      </c>
      <c r="T12" s="30">
        <f t="shared" si="7"/>
        <v>0</v>
      </c>
      <c r="U12" s="31" t="str">
        <f t="shared" si="8"/>
        <v>- -</v>
      </c>
    </row>
    <row r="13" spans="2:21" ht="18" customHeight="1">
      <c r="B13" s="32" t="str">
        <f>'Data Entry'!A13</f>
        <v>8. Cases Resulting in Probation Placement</v>
      </c>
      <c r="C13" s="33">
        <f>'Data Entry'!C13</f>
        <v>44</v>
      </c>
      <c r="D13" s="34">
        <f>IF(((AND(C70&gt;0,C13&gt;0))),(C13/(C70)),0)</f>
        <v>314.28571428571428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44</v>
      </c>
      <c r="Q13" s="42">
        <f>(C70*L70)-C13</f>
        <v>-30</v>
      </c>
      <c r="R13" s="42">
        <f t="shared" si="5"/>
        <v>14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64.285714285714278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5.0000000000000018</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7.1319999999999997</v>
      </c>
      <c r="D42" s="56">
        <f>E6/1000</f>
        <v>0</v>
      </c>
      <c r="E42" s="56">
        <f>MAX(C42:D42)</f>
        <v>7.1319999999999997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7.1319999999999997</v>
      </c>
      <c r="D48" s="56">
        <f>D42</f>
        <v>0</v>
      </c>
      <c r="E48" s="56">
        <f>MAX(C48:D48)</f>
        <v>7.1319999999999997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7.1319999999999997</v>
      </c>
      <c r="D54" s="56">
        <f>D48</f>
        <v>0</v>
      </c>
      <c r="E54" s="56">
        <f>MAX(C54:D54)</f>
        <v>7.1319999999999997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7.1319999999999997</v>
      </c>
      <c r="D60" s="56">
        <f>D54</f>
        <v>0</v>
      </c>
      <c r="E60" s="56">
        <f>MAX(C60:D60)</f>
        <v>7.1319999999999997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7.1319999999999997</v>
      </c>
      <c r="D66" s="56">
        <f>D60</f>
        <v>0</v>
      </c>
      <c r="E66" s="56">
        <f>MAX(C66:D66)</f>
        <v>7.1319999999999997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7132</v>
      </c>
      <c r="D6" s="34"/>
      <c r="E6" s="33">
        <f>'Data Entry'!H6</f>
        <v>30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0.28042624789680315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30</v>
      </c>
      <c r="P7" s="42">
        <f t="shared" ref="P7:P15" si="4">C7</f>
        <v>2</v>
      </c>
      <c r="Q7" s="42">
        <f>C6-C7</f>
        <v>7130</v>
      </c>
      <c r="R7" s="42">
        <f t="shared" ref="R7:R15" si="5">SUM(N7:Q7)</f>
        <v>7162</v>
      </c>
      <c r="S7" s="30">
        <f t="shared" ref="S7:S15" si="6">R7*((((N7*Q7)-(O7*P7))^2))</f>
        <v>25783200</v>
      </c>
      <c r="T7" s="30">
        <f t="shared" ref="T7:T15" si="7">(N7+O7)*(P7+Q7)*(N7+P7)*(O7+Q7)</f>
        <v>3063907200</v>
      </c>
      <c r="U7" s="31">
        <f t="shared" ref="U7:U15" si="8">IF((S7&gt;0),S7/T7,"- -")</f>
        <v>8.4151373775289279E-3</v>
      </c>
    </row>
    <row r="8" spans="2:21" ht="18" customHeight="1">
      <c r="B8" s="32" t="str">
        <f>'Data Entry'!A8</f>
        <v>3. Refer to Juvenile Court</v>
      </c>
      <c r="C8" s="33">
        <f>'Data Entry'!C8</f>
        <v>63</v>
      </c>
      <c r="D8" s="34">
        <f>IF((AND(C67&gt;0,C8&gt;0)),(C8/C67),0)</f>
        <v>3150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-61</v>
      </c>
      <c r="R8" s="42">
        <f t="shared" si="5"/>
        <v>2.0499999999999972</v>
      </c>
      <c r="S8" s="30">
        <f t="shared" si="6"/>
        <v>20.341124999999977</v>
      </c>
      <c r="T8" s="30">
        <f t="shared" si="7"/>
        <v>-383.98500000000007</v>
      </c>
      <c r="U8" s="31">
        <f t="shared" si="8"/>
        <v>-5.2973748974569246E-2</v>
      </c>
    </row>
    <row r="9" spans="2:21" ht="18" customHeight="1">
      <c r="B9" s="32" t="str">
        <f>'Data Entry'!A9</f>
        <v xml:space="preserve">4. Cases Diverted </v>
      </c>
      <c r="C9" s="33">
        <f>'Data Entry'!C9</f>
        <v>1</v>
      </c>
      <c r="D9" s="34">
        <f>IF((AND(C68&gt;0,C9&gt;0)),((C9/C68)),0)</f>
        <v>1.5873015873015872</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62</v>
      </c>
      <c r="R9" s="42">
        <f t="shared" si="5"/>
        <v>63</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4.7619047619047619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60</v>
      </c>
      <c r="R10" s="42">
        <f t="shared" si="5"/>
        <v>63</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25.396825396825395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47</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87.5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2</v>
      </c>
      <c r="R12" s="42">
        <f t="shared" si="5"/>
        <v>16</v>
      </c>
      <c r="S12" s="30">
        <f t="shared" si="6"/>
        <v>0</v>
      </c>
      <c r="T12" s="30">
        <f t="shared" si="7"/>
        <v>0</v>
      </c>
      <c r="U12" s="31" t="str">
        <f t="shared" si="8"/>
        <v>- -</v>
      </c>
    </row>
    <row r="13" spans="2:21" ht="18" customHeight="1">
      <c r="B13" s="32" t="str">
        <f>'Data Entry'!A13</f>
        <v>8. Cases Resulting in Probation Placement</v>
      </c>
      <c r="C13" s="33">
        <f>'Data Entry'!C13</f>
        <v>44</v>
      </c>
      <c r="D13" s="34">
        <f>IF(((AND(C70&gt;0,C13&gt;0))),(C13/(C70)),0)</f>
        <v>314.28571428571428</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44</v>
      </c>
      <c r="Q13" s="42">
        <f>(C70*L70)-C13</f>
        <v>-30</v>
      </c>
      <c r="R13" s="42">
        <f t="shared" si="5"/>
        <v>14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64.285714285714278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5.0000000000000018</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7.1319999999999997</v>
      </c>
      <c r="D42" s="56">
        <f>E6/1000</f>
        <v>0.03</v>
      </c>
      <c r="E42" s="56">
        <f>MAX(C42:D42)</f>
        <v>7.1319999999999997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7.1319999999999997</v>
      </c>
      <c r="D48" s="56">
        <f>D42</f>
        <v>0.03</v>
      </c>
      <c r="E48" s="56">
        <f>MAX(C48:D48)</f>
        <v>7.1319999999999997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7.1319999999999997</v>
      </c>
      <c r="D54" s="56">
        <f>D48</f>
        <v>0.03</v>
      </c>
      <c r="E54" s="56">
        <f>MAX(C54:D54)</f>
        <v>7.1319999999999997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7.1319999999999997</v>
      </c>
      <c r="D60" s="56">
        <f>D54</f>
        <v>0.03</v>
      </c>
      <c r="E60" s="56">
        <f>MAX(C60:D60)</f>
        <v>7.1319999999999997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7.1319999999999997</v>
      </c>
      <c r="D66" s="56">
        <f>D60</f>
        <v>0.03</v>
      </c>
      <c r="E66" s="56">
        <f>MAX(C66:D66)</f>
        <v>7.1319999999999997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U47JMPN4QEAR-1806752177-35337</_dlc_DocId>
    <_dlc_DocIdUrl xmlns="ac3811b5-0f3e-49e2-ba69-f2ffa0c782af">
      <Url>https://michiganphi.sharepoint.com/sites/CMDMC/_layouts/15/DocIdRedir.aspx?ID=U47JMPN4QEAR-1806752177-35337</Url>
      <Description>U47JMPN4QEAR-1806752177-35337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F15571-6E02-464F-8F19-6C494DD5A84D}"/>
</file>

<file path=customXml/itemProps2.xml><?xml version="1.0" encoding="utf-8"?>
<ds:datastoreItem xmlns:ds="http://schemas.openxmlformats.org/officeDocument/2006/customXml" ds:itemID="{15636331-B637-4F2C-9E4C-4845A737E16E}">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FBC8AE57-3B4A-4014-9C84-F6247B6E87C6}">
  <ds:schemaRefs>
    <ds:schemaRef ds:uri="http://schemas.microsoft.com/sharepoint/v3/contenttype/forms"/>
  </ds:schemaRefs>
</ds:datastoreItem>
</file>

<file path=customXml/itemProps4.xml><?xml version="1.0" encoding="utf-8"?>
<ds:datastoreItem xmlns:ds="http://schemas.openxmlformats.org/officeDocument/2006/customXml" ds:itemID="{6C05F05E-F645-4694-B684-D626344305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4c07704f-8f95-4a29-8a5f-d0639518ea02</vt:lpwstr>
  </property>
</Properties>
</file>