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7" documentId="8_{2570E7C0-76C6-496D-9B87-12A1BED0C8AC}" xr6:coauthVersionLast="47" xr6:coauthVersionMax="47" xr10:uidLastSave="{AC6C4EFB-8975-42C6-A545-A982F9564F0B}"/>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s="1"/>
  <c r="G56" i="3" s="1"/>
  <c r="G62" i="3" s="1"/>
  <c r="G68" i="3" s="1"/>
  <c r="G45" i="3"/>
  <c r="G46" i="3"/>
  <c r="G48" i="3"/>
  <c r="G54" i="3" s="1"/>
  <c r="G60" i="3" s="1"/>
  <c r="G66" i="3" s="1"/>
  <c r="L48" i="3"/>
  <c r="G51" i="3"/>
  <c r="G57" i="3" s="1"/>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L48" i="4"/>
  <c r="L54" i="4" s="1"/>
  <c r="L60" i="4" s="1"/>
  <c r="L66"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L54" i="5" s="1"/>
  <c r="L60" i="5" s="1"/>
  <c r="L66" i="5" s="1"/>
  <c r="G51" i="5"/>
  <c r="G57" i="5" s="1"/>
  <c r="G63" i="5" s="1"/>
  <c r="G69"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4"/>
  <c r="M66" i="4"/>
  <c r="F27" i="5"/>
  <c r="M66" i="5"/>
  <c r="F27" i="2"/>
  <c r="M66" i="2"/>
  <c r="F27" i="8"/>
  <c r="M66" i="8"/>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4" i="6"/>
  <c r="C50" i="6" s="1"/>
  <c r="E46" i="3"/>
  <c r="E46" i="7"/>
  <c r="D52" i="7" s="1"/>
  <c r="E43" i="7"/>
  <c r="L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B52" i="7"/>
  <c r="C45" i="6"/>
  <c r="E45" i="6" s="1"/>
  <c r="P11" i="6"/>
  <c r="P11" i="8"/>
  <c r="C45" i="8"/>
  <c r="L52" i="5"/>
  <c r="B52" i="5"/>
  <c r="D52" i="5"/>
  <c r="C48" i="6"/>
  <c r="E42" i="6"/>
  <c r="R7" i="6"/>
  <c r="S7" i="6" s="1"/>
  <c r="D21" i="10"/>
  <c r="C4" i="10"/>
  <c r="C7" i="10"/>
  <c r="C5" i="10"/>
  <c r="C10" i="10"/>
  <c r="C11" i="10"/>
  <c r="C6" i="10"/>
  <c r="C9" i="10"/>
  <c r="C12" i="10"/>
  <c r="C8" i="10"/>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7" l="1"/>
  <c r="B49" i="7"/>
  <c r="D49" i="7"/>
  <c r="D50" i="6"/>
  <c r="E50" i="6" s="1"/>
  <c r="L50" i="6"/>
  <c r="D50" i="5"/>
  <c r="E50" i="5" s="1"/>
  <c r="L56" i="5" s="1"/>
  <c r="C49" i="7"/>
  <c r="E49" i="7"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8" i="5"/>
  <c r="C54" i="5"/>
  <c r="C54" i="6"/>
  <c r="E48" i="6"/>
  <c r="B51" i="6"/>
  <c r="D51" i="6"/>
  <c r="C51" i="6"/>
  <c r="L51" i="6"/>
  <c r="D51" i="2" l="1"/>
  <c r="L51" i="2"/>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E55" i="5" s="1"/>
  <c r="D61" i="5" s="1"/>
  <c r="B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L64" i="3"/>
  <c r="L56" i="8"/>
  <c r="B56" i="8"/>
  <c r="D64" i="5"/>
  <c r="C64" i="5"/>
  <c r="E58"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D64" i="8"/>
  <c r="E64" i="5"/>
  <c r="E57" i="8"/>
  <c r="B63" i="8" s="1"/>
  <c r="L64" i="8"/>
  <c r="B64" i="8"/>
  <c r="C64" i="8"/>
  <c r="Q8" i="13"/>
  <c r="I7" i="9"/>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L63" i="5"/>
  <c r="F8" i="5"/>
  <c r="D70" i="5" l="1"/>
  <c r="F14" i="5" s="1"/>
  <c r="E63" i="3"/>
  <c r="C69" i="3" s="1"/>
  <c r="D15" i="3" s="1"/>
  <c r="B70" i="5"/>
  <c r="F33" i="5" s="1"/>
  <c r="L70" i="5"/>
  <c r="Q13" i="5" s="1"/>
  <c r="D63" i="8"/>
  <c r="E64" i="8"/>
  <c r="C63" i="8"/>
  <c r="L63" i="8"/>
  <c r="L70" i="3"/>
  <c r="Q14" i="3" s="1"/>
  <c r="D70" i="6"/>
  <c r="F14" i="6" s="1"/>
  <c r="C69" i="7"/>
  <c r="D12" i="7" s="1"/>
  <c r="B70" i="3"/>
  <c r="M70" i="3" s="1"/>
  <c r="L70" i="6"/>
  <c r="L69" i="7"/>
  <c r="C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D13" i="3"/>
  <c r="Q9" i="3"/>
  <c r="O10" i="3"/>
  <c r="E68" i="3"/>
  <c r="O9" i="3"/>
  <c r="F31" i="3"/>
  <c r="F29" i="3"/>
  <c r="D14" i="4"/>
  <c r="L70" i="7"/>
  <c r="O14" i="7" s="1"/>
  <c r="M69" i="7"/>
  <c r="E64" i="2"/>
  <c r="L70" i="2" s="1"/>
  <c r="L67" i="6"/>
  <c r="F10" i="3"/>
  <c r="F11" i="3"/>
  <c r="D67" i="6"/>
  <c r="F8" i="6" s="1"/>
  <c r="D13" i="5"/>
  <c r="D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5" l="1"/>
  <c r="F13" i="5"/>
  <c r="E63" i="8"/>
  <c r="D69" i="8" s="1"/>
  <c r="F15" i="8" s="1"/>
  <c r="O13" i="5"/>
  <c r="R13" i="5" s="1"/>
  <c r="S13" i="5" s="1"/>
  <c r="U13" i="5" s="1"/>
  <c r="J13" i="5" s="1"/>
  <c r="M13" i="5" s="1"/>
  <c r="D69" i="3"/>
  <c r="E69" i="3" s="1"/>
  <c r="L70" i="8"/>
  <c r="L69" i="3"/>
  <c r="Q12" i="3" s="1"/>
  <c r="B69" i="3"/>
  <c r="M69" i="3" s="1"/>
  <c r="O14" i="6"/>
  <c r="D12" i="3"/>
  <c r="Q14" i="5"/>
  <c r="O14" i="5"/>
  <c r="M70" i="5"/>
  <c r="F34" i="5"/>
  <c r="B70" i="8"/>
  <c r="M70" i="8" s="1"/>
  <c r="O13" i="6"/>
  <c r="C70" i="8"/>
  <c r="D70" i="8"/>
  <c r="F13" i="8" s="1"/>
  <c r="F14" i="3"/>
  <c r="Q12" i="7"/>
  <c r="F34" i="3"/>
  <c r="F13" i="6"/>
  <c r="Q13" i="3"/>
  <c r="O13" i="3"/>
  <c r="E70" i="6"/>
  <c r="E69" i="7"/>
  <c r="E70" i="3"/>
  <c r="F33" i="3"/>
  <c r="D15" i="7"/>
  <c r="F12" i="7"/>
  <c r="O15" i="7"/>
  <c r="D13" i="6"/>
  <c r="O12" i="7"/>
  <c r="Q15" i="7"/>
  <c r="D14" i="6"/>
  <c r="Q13" i="6"/>
  <c r="Q14" i="6"/>
  <c r="C69" i="6"/>
  <c r="D12" i="6" s="1"/>
  <c r="B69" i="6"/>
  <c r="M69" i="6" s="1"/>
  <c r="O14" i="3"/>
  <c r="R14" i="3" s="1"/>
  <c r="S14" i="3" s="1"/>
  <c r="U14" i="3" s="1"/>
  <c r="J14" i="3" s="1"/>
  <c r="M14" i="3" s="1"/>
  <c r="G14" i="3" s="1"/>
  <c r="I15" i="16" s="1"/>
  <c r="D69" i="6"/>
  <c r="F12" i="6" s="1"/>
  <c r="T10" i="3"/>
  <c r="K10" i="4"/>
  <c r="F8" i="7"/>
  <c r="T9" i="4"/>
  <c r="T11" i="4"/>
  <c r="U11" i="4" s="1"/>
  <c r="J11" i="4" s="1"/>
  <c r="K11" i="4"/>
  <c r="R10" i="4"/>
  <c r="S10" i="4" s="1"/>
  <c r="T8" i="3"/>
  <c r="U8" i="3" s="1"/>
  <c r="J8" i="3" s="1"/>
  <c r="T13" i="4"/>
  <c r="T8" i="5"/>
  <c r="U8" i="5" s="1"/>
  <c r="J8" i="5" s="1"/>
  <c r="K8" i="5"/>
  <c r="E67" i="7"/>
  <c r="L69" i="8"/>
  <c r="M67" i="7"/>
  <c r="D8" i="7"/>
  <c r="T10" i="4"/>
  <c r="K8" i="3"/>
  <c r="Q8" i="7"/>
  <c r="R8" i="7" s="1"/>
  <c r="S8" i="7" s="1"/>
  <c r="M69" i="2"/>
  <c r="K14" i="4"/>
  <c r="K13" i="4"/>
  <c r="Q8" i="6"/>
  <c r="O8" i="6"/>
  <c r="E67" i="6"/>
  <c r="C69" i="8"/>
  <c r="F15" i="3"/>
  <c r="R13" i="4"/>
  <c r="S13" i="4" s="1"/>
  <c r="K9" i="4"/>
  <c r="R9" i="4"/>
  <c r="S9" i="4" s="1"/>
  <c r="F32" i="2"/>
  <c r="R10" i="3"/>
  <c r="S10" i="3"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C70" i="2"/>
  <c r="D14" i="2" s="1"/>
  <c r="D70" i="2"/>
  <c r="O14" i="2"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8" l="1"/>
  <c r="B69" i="8"/>
  <c r="M69" i="8" s="1"/>
  <c r="F12" i="3"/>
  <c r="F32" i="3"/>
  <c r="R13" i="6"/>
  <c r="S13" i="6" s="1"/>
  <c r="U13" i="6" s="1"/>
  <c r="J13" i="6" s="1"/>
  <c r="M13" i="6" s="1"/>
  <c r="G13" i="6" s="1"/>
  <c r="G13" i="9" s="1"/>
  <c r="T14" i="5"/>
  <c r="D15" i="6"/>
  <c r="Q13" i="8"/>
  <c r="O12" i="3"/>
  <c r="R12" i="3" s="1"/>
  <c r="S12" i="3" s="1"/>
  <c r="U12" i="3" s="1"/>
  <c r="J12" i="3" s="1"/>
  <c r="K14" i="5"/>
  <c r="R14" i="5"/>
  <c r="S14" i="5" s="1"/>
  <c r="U14" i="5" s="1"/>
  <c r="J14" i="5" s="1"/>
  <c r="M14" i="5" s="1"/>
  <c r="D14" i="8"/>
  <c r="Q14" i="8"/>
  <c r="F33" i="8"/>
  <c r="F35" i="3"/>
  <c r="T14" i="6"/>
  <c r="Q15" i="3"/>
  <c r="F34" i="8"/>
  <c r="O15" i="3"/>
  <c r="D13" i="8"/>
  <c r="O14" i="8"/>
  <c r="T14" i="8" s="1"/>
  <c r="O13" i="8"/>
  <c r="E70" i="8"/>
  <c r="F14" i="8"/>
  <c r="T12" i="7"/>
  <c r="T15" i="7"/>
  <c r="K14" i="6"/>
  <c r="R14" i="6"/>
  <c r="S14" i="6" s="1"/>
  <c r="U14" i="6" s="1"/>
  <c r="J14" i="6" s="1"/>
  <c r="M14" i="6" s="1"/>
  <c r="G14" i="6" s="1"/>
  <c r="M15" i="13" s="1"/>
  <c r="U9" i="4"/>
  <c r="J9" i="4" s="1"/>
  <c r="M9" i="4" s="1"/>
  <c r="G9" i="4" s="1"/>
  <c r="G10" i="16" s="1"/>
  <c r="R15" i="7"/>
  <c r="S15" i="7" s="1"/>
  <c r="U15" i="7" s="1"/>
  <c r="J15" i="7" s="1"/>
  <c r="M15" i="7" s="1"/>
  <c r="U10" i="3"/>
  <c r="J10" i="3" s="1"/>
  <c r="M10" i="3" s="1"/>
  <c r="G10" i="3" s="1"/>
  <c r="I11" i="16" s="1"/>
  <c r="U10" i="4"/>
  <c r="J10" i="4" s="1"/>
  <c r="M10" i="4" s="1"/>
  <c r="G10" i="4" s="1"/>
  <c r="K15" i="7"/>
  <c r="R13" i="3"/>
  <c r="S13" i="3" s="1"/>
  <c r="U13" i="3" s="1"/>
  <c r="J13" i="3" s="1"/>
  <c r="M13" i="3" s="1"/>
  <c r="G13" i="3" s="1"/>
  <c r="T13" i="6"/>
  <c r="U13" i="4"/>
  <c r="J13" i="4" s="1"/>
  <c r="M13" i="4" s="1"/>
  <c r="G13" i="4" s="1"/>
  <c r="G14" i="16" s="1"/>
  <c r="T13" i="3"/>
  <c r="K13" i="3"/>
  <c r="T14" i="3"/>
  <c r="F32" i="6"/>
  <c r="K14" i="3"/>
  <c r="L14" i="3" s="1"/>
  <c r="P15" i="16" s="1"/>
  <c r="Q12" i="6"/>
  <c r="Q15" i="6"/>
  <c r="K12" i="7"/>
  <c r="R12" i="7"/>
  <c r="S12" i="7" s="1"/>
  <c r="U12" i="7" s="1"/>
  <c r="J12" i="7" s="1"/>
  <c r="M12" i="7" s="1"/>
  <c r="K13" i="6"/>
  <c r="O12" i="6"/>
  <c r="F35" i="6"/>
  <c r="E69" i="6"/>
  <c r="O15" i="6"/>
  <c r="F15" i="6"/>
  <c r="L11" i="4"/>
  <c r="O12" i="16" s="1"/>
  <c r="K8" i="7"/>
  <c r="O13" i="2"/>
  <c r="O12" i="8"/>
  <c r="F35" i="8"/>
  <c r="T8" i="7"/>
  <c r="U8" i="7" s="1"/>
  <c r="J8" i="7" s="1"/>
  <c r="M8" i="7" s="1"/>
  <c r="T13" i="7"/>
  <c r="Q12" i="8"/>
  <c r="F32" i="8"/>
  <c r="Q10" i="7"/>
  <c r="F13" i="2"/>
  <c r="Q11" i="7"/>
  <c r="R8" i="6"/>
  <c r="S8" i="6" s="1"/>
  <c r="F14" i="2"/>
  <c r="E69" i="8"/>
  <c r="F10" i="7"/>
  <c r="F30" i="7"/>
  <c r="D12" i="8"/>
  <c r="M68" i="7"/>
  <c r="Q15" i="8"/>
  <c r="R15" i="8" s="1"/>
  <c r="S15" i="8" s="1"/>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R13" i="7"/>
  <c r="S13" i="7" s="1"/>
  <c r="U13" i="7" s="1"/>
  <c r="J13" i="7" s="1"/>
  <c r="M13" i="7" s="1"/>
  <c r="Q13" i="2"/>
  <c r="U9" i="3"/>
  <c r="J9" i="3" s="1"/>
  <c r="L9" i="3" s="1"/>
  <c r="L13" i="5"/>
  <c r="Q14" i="16" s="1"/>
  <c r="K13" i="7"/>
  <c r="T8" i="2"/>
  <c r="U8" i="2" s="1"/>
  <c r="J8" i="2" s="1"/>
  <c r="M11" i="4"/>
  <c r="G11" i="4" s="1"/>
  <c r="T14" i="7"/>
  <c r="U14" i="7" s="1"/>
  <c r="J14" i="7" s="1"/>
  <c r="K14" i="7"/>
  <c r="N30" i="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6" l="1"/>
  <c r="R14" i="16" s="1"/>
  <c r="M14" i="13"/>
  <c r="R13" i="8"/>
  <c r="S13" i="8" s="1"/>
  <c r="T12" i="3"/>
  <c r="K12" i="3"/>
  <c r="K15" i="3"/>
  <c r="L14" i="5"/>
  <c r="Q15" i="16" s="1"/>
  <c r="R15" i="3"/>
  <c r="S15" i="3" s="1"/>
  <c r="U15" i="3" s="1"/>
  <c r="J15" i="3" s="1"/>
  <c r="M15" i="3" s="1"/>
  <c r="G15" i="3" s="1"/>
  <c r="I16" i="16" s="1"/>
  <c r="N30" i="5"/>
  <c r="T15" i="3"/>
  <c r="K14" i="8"/>
  <c r="R14" i="8"/>
  <c r="S14" i="8" s="1"/>
  <c r="U14" i="8" s="1"/>
  <c r="J14" i="8" s="1"/>
  <c r="N30" i="8" s="1"/>
  <c r="K13" i="8"/>
  <c r="D9" i="9"/>
  <c r="T13" i="8"/>
  <c r="I11" i="13"/>
  <c r="G10" i="13"/>
  <c r="L10" i="4"/>
  <c r="O11" i="16" s="1"/>
  <c r="L9" i="4"/>
  <c r="O10" i="16" s="1"/>
  <c r="L15" i="7"/>
  <c r="S16" i="16" s="1"/>
  <c r="L10" i="3"/>
  <c r="P11" i="16" s="1"/>
  <c r="E10" i="9"/>
  <c r="G11" i="16"/>
  <c r="G11" i="13"/>
  <c r="L13" i="4"/>
  <c r="O14" i="16" s="1"/>
  <c r="L13" i="3"/>
  <c r="P14" i="16" s="1"/>
  <c r="T15" i="6"/>
  <c r="K12" i="6"/>
  <c r="R12" i="6"/>
  <c r="S12" i="6" s="1"/>
  <c r="U12" i="6" s="1"/>
  <c r="J12" i="6" s="1"/>
  <c r="M12" i="6" s="1"/>
  <c r="G12" i="6" s="1"/>
  <c r="K15" i="6"/>
  <c r="T12" i="6"/>
  <c r="R15" i="6"/>
  <c r="S15" i="6" s="1"/>
  <c r="U15" i="6" s="1"/>
  <c r="J15" i="6" s="1"/>
  <c r="M15" i="6" s="1"/>
  <c r="G15" i="6" s="1"/>
  <c r="L12" i="7"/>
  <c r="S13" i="16" s="1"/>
  <c r="D10" i="9"/>
  <c r="U12" i="13"/>
  <c r="M11" i="9"/>
  <c r="R12" i="8"/>
  <c r="S12" i="8" s="1"/>
  <c r="T13" i="2"/>
  <c r="U8" i="6"/>
  <c r="J8" i="6" s="1"/>
  <c r="M8" i="6" s="1"/>
  <c r="G8" i="6" s="1"/>
  <c r="M9" i="13" s="1"/>
  <c r="R13" i="2"/>
  <c r="S13" i="2" s="1"/>
  <c r="T15" i="8"/>
  <c r="G14" i="9"/>
  <c r="T12" i="8"/>
  <c r="K12" i="8"/>
  <c r="R10" i="7"/>
  <c r="S10" i="7" s="1"/>
  <c r="T11" i="7"/>
  <c r="T10" i="7"/>
  <c r="L8" i="2"/>
  <c r="N9" i="16" s="1"/>
  <c r="K13" i="2"/>
  <c r="R15" i="5"/>
  <c r="S15" i="5" s="1"/>
  <c r="U15" i="5" s="1"/>
  <c r="J15" i="5" s="1"/>
  <c r="M15" i="5" s="1"/>
  <c r="K11" i="7"/>
  <c r="K15" i="8"/>
  <c r="T9" i="7"/>
  <c r="N30" i="6"/>
  <c r="R11" i="7"/>
  <c r="S11" i="7" s="1"/>
  <c r="L14" i="6"/>
  <c r="R15" i="16" s="1"/>
  <c r="K12" i="5"/>
  <c r="L12" i="5" s="1"/>
  <c r="Q13" i="16" s="1"/>
  <c r="T12" i="5"/>
  <c r="K10" i="7"/>
  <c r="R14" i="2"/>
  <c r="S14" i="2" s="1"/>
  <c r="D13" i="9"/>
  <c r="G14" i="13"/>
  <c r="P13" i="9"/>
  <c r="K9" i="7"/>
  <c r="T14" i="2"/>
  <c r="V12" i="13"/>
  <c r="U10" i="13"/>
  <c r="X14" i="13"/>
  <c r="N11" i="9"/>
  <c r="T15" i="5"/>
  <c r="W14" i="13"/>
  <c r="N14" i="9"/>
  <c r="L13" i="7"/>
  <c r="S14" i="16" s="1"/>
  <c r="M9" i="3"/>
  <c r="G9" i="3" s="1"/>
  <c r="I10" i="13" s="1"/>
  <c r="I14" i="13"/>
  <c r="I14" i="16"/>
  <c r="G12" i="13"/>
  <c r="G12" i="16"/>
  <c r="N9" i="9"/>
  <c r="P10" i="16"/>
  <c r="M14" i="7"/>
  <c r="N30" i="7"/>
  <c r="L14" i="7"/>
  <c r="S15" i="16" s="1"/>
  <c r="L8" i="7"/>
  <c r="S9" i="16" s="1"/>
  <c r="O13" i="9"/>
  <c r="M9" i="9"/>
  <c r="O14" i="9"/>
  <c r="V10" i="13"/>
  <c r="V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U13" i="8" l="1"/>
  <c r="J13" i="8" s="1"/>
  <c r="M13" i="8" s="1"/>
  <c r="G13" i="8" s="1"/>
  <c r="I13" i="9" s="1"/>
  <c r="I16" i="13"/>
  <c r="L15" i="3"/>
  <c r="P16" i="16" s="1"/>
  <c r="E15" i="9"/>
  <c r="W15" i="13"/>
  <c r="M10" i="9"/>
  <c r="U14" i="2"/>
  <c r="J14" i="2" s="1"/>
  <c r="M14" i="2" s="1"/>
  <c r="G14" i="2" s="1"/>
  <c r="E15" i="16" s="1"/>
  <c r="U11" i="13"/>
  <c r="N10" i="9"/>
  <c r="V11" i="13"/>
  <c r="Y16" i="13"/>
  <c r="Q15" i="9"/>
  <c r="V14" i="13"/>
  <c r="N13" i="9"/>
  <c r="U12" i="8"/>
  <c r="J12" i="8" s="1"/>
  <c r="L12" i="8" s="1"/>
  <c r="T13" i="16" s="1"/>
  <c r="U10" i="7"/>
  <c r="J10" i="7" s="1"/>
  <c r="L10" i="7" s="1"/>
  <c r="S11" i="16" s="1"/>
  <c r="U11" i="7"/>
  <c r="J11" i="7" s="1"/>
  <c r="L11" i="7" s="1"/>
  <c r="S12" i="16" s="1"/>
  <c r="Q12" i="9"/>
  <c r="M13" i="9"/>
  <c r="U14" i="13"/>
  <c r="L12" i="6"/>
  <c r="R13" i="16" s="1"/>
  <c r="U13" i="2"/>
  <c r="J13" i="2" s="1"/>
  <c r="M13" i="2" s="1"/>
  <c r="G13" i="2" s="1"/>
  <c r="E14" i="16" s="1"/>
  <c r="L15" i="6"/>
  <c r="R16" i="16" s="1"/>
  <c r="Y13" i="13"/>
  <c r="M14" i="8"/>
  <c r="G14" i="8" s="1"/>
  <c r="K15" i="16" s="1"/>
  <c r="L14" i="8"/>
  <c r="T15"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4" i="13" l="1"/>
  <c r="K14" i="16"/>
  <c r="L13" i="8"/>
  <c r="T14" i="16" s="1"/>
  <c r="C14" i="9"/>
  <c r="L14" i="2"/>
  <c r="N15" i="16" s="1"/>
  <c r="N30" i="2"/>
  <c r="E15" i="13"/>
  <c r="R13" i="9"/>
  <c r="M11" i="7"/>
  <c r="M10" i="7"/>
  <c r="M12" i="8"/>
  <c r="G12" i="8" s="1"/>
  <c r="K13" i="16" s="1"/>
  <c r="X13" i="13"/>
  <c r="P12" i="9"/>
  <c r="C13" i="9"/>
  <c r="X16" i="13"/>
  <c r="Z15" i="13"/>
  <c r="E14" i="13"/>
  <c r="L13" i="2"/>
  <c r="N14" i="16" s="1"/>
  <c r="P15" i="9"/>
  <c r="R14" i="9"/>
  <c r="I14" i="9"/>
  <c r="Q15"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Z14" i="13" l="1"/>
  <c r="L14" i="9"/>
  <c r="Q13" i="13"/>
  <c r="I12"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<sst xmlns="http://schemas.openxmlformats.org/spreadsheetml/2006/main" count="654" uniqueCount="141">
  <si>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</si>
  <si>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</si>
  <si>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</si>
  <si>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</si>
  <si>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</si>
  <si>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</si>
  <si>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</si>
  <si>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</si>
  <si>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</si>
  <si>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</si>
  <si>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</si>
  <si>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</si>
  <si>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</si>
  <si>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</si>
  <si>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</si>
  <si>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</si>
  <si>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</si>
  <si>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</si>
  <si>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</si>
  <si>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</si>
  <si>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</si>
  <si>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</si>
  <si>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</si>
  <si>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</si>
  <si>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</si>
  <si>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</si>
  <si>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</si>
  <si>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</si>
  <si>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</si>
  <si>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</si>
  <si>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</si>
  <si>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</si>
  <si>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</si>
  <si>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</si>
  <si>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</si>
  <si>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</si>
  <si>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</si>
  <si>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</si>
  <si>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</si>
  <si>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</si>
  <si>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</si>
  <si>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</si>
  <si>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</si>
  <si>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</si>
  <si>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</si>
  <si>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</si>
  <si>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</si>
  <si>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</si>
  <si>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</si>
  <si>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</si>
  <si>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</si>
  <si>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</si>
  <si>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</si>
  <si>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</si>
  <si>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</si>
  <si>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</si>
  <si>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</si>
  <si>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</si>
  <si>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</si>
  <si>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</si>
  <si>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</si>
  <si>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</si>
  <si>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</si>
  <si>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</si>
  <si>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</si>
  <si>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</si>
  <si>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</si>
  <si>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</si>
  <si>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</si>
  <si>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</si>
  <si>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</si>
  <si>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</si>
  <si>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</si>
  <si>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</si>
  <si>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</si>
  <si>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</si>
  <si>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</si>
  <si>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</si>
  <si>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</si>
  <si>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</si>
  <si>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</si>
  <si>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</si>
  <si>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</si>
  <si>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</si>
  <si>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</si>
  <si>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</si>
  <si>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</si>
  <si>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</si>
  <si>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</si>
  <si>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</si>
  <si>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</si>
  <si>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</si>
  <si>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</si>
  <si>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</si>
  <si>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</si>
  <si>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</si>
  <si>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</si>
  <si>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</si>
  <si>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</si>
  <si>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</si>
  <si>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</si>
  <si>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</si>
  <si>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</si>
  <si>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</si>
  <si>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</si>
  <si>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</si>
  <si>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</si>
  <si>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</si>
  <si>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</si>
  <si>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</si>
  <si>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</si>
  <si>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</si>
  <si>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</si>
  <si>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</si>
  <si>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</si>
  <si>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</si>
  <si>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</si>
  <si>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</si>
  <si>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</si>
  <si>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</si>
  <si>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</si>
  <si>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</si>
  <si>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</si>
  <si>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</si>
  <si>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</si>
  <si>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</si>
  <si>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</si>
  <si>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</si>
  <si>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</si>
  <si>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</si>
  <si>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</si>
  <si>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</si>
  <si>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</si>
  <si>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</si>
  <si>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</si>
  <si>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</si>
  <si>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Clinton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</si>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</sst>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Clinton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N=10</c:v>
                </c:pt>
                <c:pt idx="3">
                  <c:v>Petitions, total N=19</c:v>
                </c:pt>
                <c:pt idx="4">
                  <c:v>Detentions, total N=3</c:v>
                </c:pt>
                <c:pt idx="5">
                  <c:v>Referrals, total N=83</c:v>
                </c:pt>
                <c:pt idx="6">
                  <c:v>Arrests, total N=2</c:v>
                </c:pt>
                <c:pt idx="7">
                  <c:v>Population, total N=8275</c:v>
                </c:pt>
              </c:strCache>
            </c:strRef>
          </c:cat>
          <c:val>
            <c:numRef>
              <c:f>'Stacked 100%'!$B$7:$B$14</c:f>
              <c:numCache>
                <c:formatCode>0%</c:formatCode>
                <c:ptCount val="8"/>
                <c:pt idx="0">
                  <c:v>0</c:v>
                </c:pt>
                <c:pt idx="1">
                  <c:v>0</c:v>
                </c:pt>
                <c:pt idx="2">
                  <c:v>0</c:v>
                </c:pt>
                <c:pt idx="3">
                  <c:v>0</c:v>
                </c:pt>
                <c:pt idx="4">
                  <c:v>0.33333333333333331</c:v>
                </c:pt>
                <c:pt idx="5">
                  <c:v>7.2289156626506021E-2</c:v>
                </c:pt>
                <c:pt idx="6">
                  <c:v>0</c:v>
                </c:pt>
                <c:pt idx="7">
                  <c:v>3.5649546827794559E-2</c:v>
                </c:pt>
              </c:numCache>
            </c:numRef>
          </c:val>
          <c:extLst>
            <c:ext xmlns:c16="http://schemas.microsoft.com/office/drawing/2014/chart" uri="{C3380CC4-5D6E-409C-BE32-E72D297353CC}">
              <c16:uniqueId val="{00000000-9DAD-4900-8F99-F2BB911C160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N=10</c:v>
                </c:pt>
                <c:pt idx="3">
                  <c:v>Petitions, total N=19</c:v>
                </c:pt>
                <c:pt idx="4">
                  <c:v>Detentions, total N=3</c:v>
                </c:pt>
                <c:pt idx="5">
                  <c:v>Referrals, total N=83</c:v>
                </c:pt>
                <c:pt idx="6">
                  <c:v>Arrests, total N=2</c:v>
                </c:pt>
                <c:pt idx="7">
                  <c:v>Population, total N=8275</c:v>
                </c:pt>
              </c:strCache>
            </c:strRef>
          </c:cat>
          <c:val>
            <c:numRef>
              <c:f>'Stacked 100%'!$C$7:$C$14</c:f>
              <c:numCache>
                <c:formatCode>0%</c:formatCode>
                <c:ptCount val="8"/>
                <c:pt idx="0">
                  <c:v>0</c:v>
                </c:pt>
                <c:pt idx="1">
                  <c:v>0</c:v>
                </c:pt>
                <c:pt idx="2">
                  <c:v>0</c:v>
                </c:pt>
                <c:pt idx="3">
                  <c:v>0</c:v>
                </c:pt>
                <c:pt idx="4">
                  <c:v>0</c:v>
                </c:pt>
                <c:pt idx="5">
                  <c:v>4.8192771084337352E-2</c:v>
                </c:pt>
                <c:pt idx="6">
                  <c:v>0</c:v>
                </c:pt>
                <c:pt idx="7">
                  <c:v>7.371601208459215E-2</c:v>
                </c:pt>
              </c:numCache>
            </c:numRef>
          </c:val>
          <c:extLst>
            <c:ext xmlns:c16="http://schemas.microsoft.com/office/drawing/2014/chart" uri="{C3380CC4-5D6E-409C-BE32-E72D297353CC}">
              <c16:uniqueId val="{00000001-9DAD-4900-8F99-F2BB911C160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N=10</c:v>
                </c:pt>
                <c:pt idx="3">
                  <c:v>Petitions, total N=19</c:v>
                </c:pt>
                <c:pt idx="4">
                  <c:v>Detentions, total N=3</c:v>
                </c:pt>
                <c:pt idx="5">
                  <c:v>Referrals, total N=83</c:v>
                </c:pt>
                <c:pt idx="6">
                  <c:v>Arrests, total N=2</c:v>
                </c:pt>
                <c:pt idx="7">
                  <c:v>Population, total N=8275</c:v>
                </c:pt>
              </c:strCache>
            </c:strRef>
          </c:cat>
          <c:val>
            <c:numRef>
              <c:f>'Stacked 100%'!$H$7:$H$14</c:f>
              <c:numCache>
                <c:formatCode>0%</c:formatCode>
                <c:ptCount val="8"/>
                <c:pt idx="0">
                  <c:v>0</c:v>
                </c:pt>
                <c:pt idx="1">
                  <c:v>0</c:v>
                </c:pt>
                <c:pt idx="2">
                  <c:v>0</c:v>
                </c:pt>
                <c:pt idx="3">
                  <c:v>0</c:v>
                </c:pt>
                <c:pt idx="4">
                  <c:v>0</c:v>
                </c:pt>
                <c:pt idx="5">
                  <c:v>0</c:v>
                </c:pt>
                <c:pt idx="6">
                  <c:v>0</c:v>
                </c:pt>
                <c:pt idx="7">
                  <c:v>2.6578800850667666E-6</c:v>
                </c:pt>
              </c:numCache>
            </c:numRef>
          </c:val>
          <c:extLst>
            <c:ext xmlns:c16="http://schemas.microsoft.com/office/drawing/2014/chart" uri="{C3380CC4-5D6E-409C-BE32-E72D297353CC}">
              <c16:uniqueId val="{00000002-9DAD-4900-8F99-F2BB911C160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N=10</c:v>
                </c:pt>
                <c:pt idx="3">
                  <c:v>Petitions, total N=19</c:v>
                </c:pt>
                <c:pt idx="4">
                  <c:v>Detentions, total N=3</c:v>
                </c:pt>
                <c:pt idx="5">
                  <c:v>Referrals, total N=83</c:v>
                </c:pt>
                <c:pt idx="6">
                  <c:v>Arrests, total N=2</c:v>
                </c:pt>
                <c:pt idx="7">
                  <c:v>Population, total N=8275</c:v>
                </c:pt>
              </c:strCache>
            </c:strRef>
          </c:cat>
          <c:val>
            <c:numRef>
              <c:f>'Stacked 100%'!$I$7:$I$14</c:f>
              <c:numCache>
                <c:formatCode>0%</c:formatCode>
                <c:ptCount val="8"/>
                <c:pt idx="0">
                  <c:v>0</c:v>
                </c:pt>
                <c:pt idx="1">
                  <c:v>1</c:v>
                </c:pt>
                <c:pt idx="2">
                  <c:v>1</c:v>
                </c:pt>
                <c:pt idx="3">
                  <c:v>0.89473684210526316</c:v>
                </c:pt>
                <c:pt idx="4">
                  <c:v>0.66666666666666663</c:v>
                </c:pt>
                <c:pt idx="5">
                  <c:v>0.72289156626506024</c:v>
                </c:pt>
                <c:pt idx="6">
                  <c:v>1</c:v>
                </c:pt>
                <c:pt idx="7">
                  <c:v>0.86864048338368582</c:v>
                </c:pt>
              </c:numCache>
            </c:numRef>
          </c:val>
          <c:extLst>
            <c:ext xmlns:c16="http://schemas.microsoft.com/office/drawing/2014/chart" uri="{C3380CC4-5D6E-409C-BE32-E72D297353CC}">
              <c16:uniqueId val="{00000003-9DAD-4900-8F99-F2BB911C160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N=10</c:v>
                </c:pt>
                <c:pt idx="3">
                  <c:v>Petitions, total N=19</c:v>
                </c:pt>
                <c:pt idx="4">
                  <c:v>Detentions, total N=3</c:v>
                </c:pt>
                <c:pt idx="5">
                  <c:v>Referrals, total N=83</c:v>
                </c:pt>
                <c:pt idx="6">
                  <c:v>Arrests, total N=2</c:v>
                </c:pt>
                <c:pt idx="7">
                  <c:v>Population, total N=8275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DAD-4900-8F99-F2BB911C160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8275</v>
      </c>
      <c r="C6" s="11">
        <v>7188</v>
      </c>
      <c r="D6" s="11">
        <v>295</v>
      </c>
      <c r="E6" s="11">
        <v>610</v>
      </c>
      <c r="F6" s="11">
        <v>144</v>
      </c>
      <c r="G6" s="11"/>
      <c r="H6" s="11">
        <v>38</v>
      </c>
      <c r="I6" s="11"/>
      <c r="J6" s="91">
        <f>SUM(D6:I6)</f>
        <v>1087</v>
      </c>
      <c r="K6" s="92"/>
    </row>
    <row r="7" spans="1:11" ht="15.75" customHeight="1" thickBot="1">
      <c r="A7" s="10" t="s">
        <v>8</v>
      </c>
      <c r="B7" s="11">
        <f t="shared" ref="B7:B15" si="0">SUM(C7:I7)+K7</f>
        <v>2</v>
      </c>
      <c r="C7" s="11">
        <v>2</v>
      </c>
      <c r="D7" s="11"/>
      <c r="E7" s="11"/>
      <c r="F7" s="11"/>
      <c r="G7" s="11"/>
      <c r="H7" s="11"/>
      <c r="I7" s="11"/>
      <c r="J7" s="91">
        <f t="shared" ref="J7:J15" si="1">SUM(D7:I7)</f>
        <v>0</v>
      </c>
      <c r="K7" s="92"/>
    </row>
    <row r="8" spans="1:11" ht="15.75" customHeight="1" thickBot="1">
      <c r="A8" s="10" t="s">
        <v>9</v>
      </c>
      <c r="B8" s="11">
        <f t="shared" si="0"/>
        <v>83</v>
      </c>
      <c r="C8" s="11">
        <v>60</v>
      </c>
      <c r="D8" s="11">
        <v>6</v>
      </c>
      <c r="E8" s="11">
        <v>4</v>
      </c>
      <c r="F8" s="11"/>
      <c r="G8" s="11"/>
      <c r="H8" s="11"/>
      <c r="I8" s="11"/>
      <c r="J8" s="91">
        <f t="shared" si="1"/>
        <v>10</v>
      </c>
      <c r="K8" s="92">
        <v>13</v>
      </c>
    </row>
    <row r="9" spans="1:11" ht="15.75" customHeight="1" thickBot="1">
      <c r="A9" s="10" t="s">
        <v>10</v>
      </c>
      <c r="B9" s="11">
        <f t="shared" si="0"/>
        <v>3</v>
      </c>
      <c r="C9" s="11">
        <v>3</v>
      </c>
      <c r="D9" s="11"/>
      <c r="E9" s="11"/>
      <c r="F9" s="11"/>
      <c r="G9" s="11"/>
      <c r="H9" s="11"/>
      <c r="I9" s="11"/>
      <c r="J9" s="91">
        <f t="shared" si="1"/>
        <v>0</v>
      </c>
      <c r="K9" s="92"/>
    </row>
    <row r="10" spans="1:11" ht="15.75" customHeight="1" thickBot="1">
      <c r="A10" s="10" t="s">
        <v>11</v>
      </c>
      <c r="B10" s="11">
        <f t="shared" si="0"/>
        <v>3</v>
      </c>
      <c r="C10" s="11">
        <v>2</v>
      </c>
      <c r="D10" s="11">
        <v>1</v>
      </c>
      <c r="E10" s="11"/>
      <c r="F10" s="11"/>
      <c r="G10" s="11"/>
      <c r="H10" s="11"/>
      <c r="I10" s="11"/>
      <c r="J10" s="91">
        <f t="shared" si="1"/>
        <v>1</v>
      </c>
      <c r="K10" s="92"/>
    </row>
    <row r="11" spans="1:11" ht="15.75" customHeight="1" thickBot="1">
      <c r="A11" s="10" t="s">
        <v>12</v>
      </c>
      <c r="B11" s="11">
        <f t="shared" si="0"/>
        <v>19</v>
      </c>
      <c r="C11" s="11">
        <v>17</v>
      </c>
      <c r="D11" s="11"/>
      <c r="E11" s="11"/>
      <c r="F11" s="11"/>
      <c r="G11" s="11"/>
      <c r="H11" s="11"/>
      <c r="I11" s="11"/>
      <c r="J11" s="91">
        <f t="shared" si="1"/>
        <v>0</v>
      </c>
      <c r="K11" s="92">
        <v>2</v>
      </c>
    </row>
    <row r="12" spans="1:11" ht="15.75" customHeight="1" thickBot="1">
      <c r="A12" s="10" t="s">
        <v>13</v>
      </c>
      <c r="B12" s="11">
        <f t="shared" si="0"/>
        <v>10</v>
      </c>
      <c r="C12" s="11">
        <v>10</v>
      </c>
      <c r="D12" s="11"/>
      <c r="E12" s="11"/>
      <c r="F12" s="11"/>
      <c r="G12" s="11"/>
      <c r="H12" s="11"/>
      <c r="I12" s="11"/>
      <c r="J12" s="91">
        <f t="shared" si="1"/>
        <v>0</v>
      </c>
      <c r="K12" s="92"/>
    </row>
    <row r="13" spans="1:11" ht="15.75" customHeight="1" thickBot="1">
      <c r="A13" s="10" t="s">
        <v>133</v>
      </c>
      <c r="B13" s="11">
        <f t="shared" si="0"/>
        <v>42</v>
      </c>
      <c r="C13" s="11">
        <v>38</v>
      </c>
      <c r="D13" s="11">
        <v>2</v>
      </c>
      <c r="E13" s="11">
        <v>2</v>
      </c>
      <c r="F13" s="11"/>
      <c r="G13" s="11"/>
      <c r="H13" s="11"/>
      <c r="I13" s="11"/>
      <c r="J13" s="91">
        <f t="shared" si="1"/>
        <v>4</v>
      </c>
      <c r="K13" s="92"/>
    </row>
    <row r="14" spans="1:11" ht="26.25" customHeight="1" thickBot="1">
      <c r="A14" s="10" t="s">
        <v>123</v>
      </c>
      <c r="B14" s="11">
        <f t="shared" si="0"/>
        <v>5</v>
      </c>
      <c r="C14" s="11">
        <v>5</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7188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0.2782415136338342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7186</v>
      </c>
      <c r="R7" s="42">
        <f t="shared" ref="R7:R15" si="5">SUM(N7:Q7)</f>
        <v>7188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60</v>
      </c>
      <c r="D8" s="34">
        <f>IF((AND(C67&gt;0,C8&gt;0)),(C8/C67),0)</f>
        <v>3000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60</v>
      </c>
      <c r="Q8" s="42">
        <f>(C$67*L67)-C8</f>
        <v>-58</v>
      </c>
      <c r="R8" s="42">
        <f t="shared" si="5"/>
        <v>2.0499999999999972</v>
      </c>
      <c r="S8" s="30">
        <f t="shared" si="6"/>
        <v>18.449999999999974</v>
      </c>
      <c r="T8" s="30">
        <f t="shared" si="7"/>
        <v>-347.70000000000005</v>
      </c>
      <c r="U8" s="31">
        <f t="shared" si="8"/>
        <v>-5.3062985332182837E-2</v>
      </c>
    </row>
    <row r="9" spans="2:21" ht="18" customHeight="1">
      <c r="B9" s="32" t="str">
        <f>'Data Entry'!A9</f>
        <v xml:space="preserve">4. Cases Diverted </v>
      </c>
      <c r="C9" s="33">
        <f>'Data Entry'!C9</f>
        <v>3</v>
      </c>
      <c r="D9" s="34">
        <f>IF((AND(C68&gt;0,C9&gt;0)),((C9/C68)),0)</f>
        <v>5</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57</v>
      </c>
      <c r="R9" s="42">
        <f t="shared" si="5"/>
        <v>60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3.3333333333333335</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58</v>
      </c>
      <c r="R10" s="42">
        <f t="shared" si="5"/>
        <v>60</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28.333333333333336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43</v>
      </c>
      <c r="R11" s="42">
        <f t="shared" si="5"/>
        <v>60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58.823529411764703</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380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-28</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50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7.1879999999999997</v>
      </c>
      <c r="D42" s="56">
        <f>E6/1000</f>
        <v>0</v>
      </c>
      <c r="E42" s="56">
        <f>MAX(C42:D42)</f>
        <v>7.1879999999999997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v>
      </c>
      <c r="D44" s="56">
        <f>E8/100</f>
        <v>0</v>
      </c>
      <c r="E44" s="56">
        <f>MAX(C44:D44,0)</f>
        <v>0.6</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7.1879999999999997</v>
      </c>
      <c r="D48" s="56">
        <f>D42</f>
        <v>0</v>
      </c>
      <c r="E48" s="56">
        <f>MAX(C48:D48)</f>
        <v>7.1879999999999997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7.1879999999999997</v>
      </c>
      <c r="D54" s="56">
        <f>D48</f>
        <v>0</v>
      </c>
      <c r="E54" s="56">
        <f>MAX(C54:D54)</f>
        <v>7.1879999999999997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7.1879999999999997</v>
      </c>
      <c r="D60" s="56">
        <f>D54</f>
        <v>0</v>
      </c>
      <c r="E60" s="56">
        <f>MAX(C60:D60)</f>
        <v>7.1879999999999997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7.1879999999999997</v>
      </c>
      <c r="D66" s="56">
        <f>D60</f>
        <v>0</v>
      </c>
      <c r="E66" s="56">
        <f>MAX(C66:D66)</f>
        <v>7.1879999999999997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7188</v>
      </c>
      <c r="D6" s="34"/>
      <c r="E6" s="33">
        <f>'Data Entry'!J6</f>
        <v>1087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0.2782415136338342</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1087</v>
      </c>
      <c r="P7" s="42">
        <f t="shared" ref="P7:P15" si="4">C7</f>
        <v>2</v>
      </c>
      <c r="Q7" s="42">
        <f>C6-C7</f>
        <v>7186</v>
      </c>
      <c r="R7" s="42">
        <f t="shared" ref="R7:R15" si="5">SUM(N7:Q7)</f>
        <v>8275</v>
      </c>
      <c r="S7" s="30">
        <f t="shared" ref="S7:S15" si="6">R7*((((N7*Q7)-(O7*P7))^2))</f>
        <v>39109933900</v>
      </c>
      <c r="T7" s="30">
        <f t="shared" ref="T7:T15" si="7">(N7+O7)*(P7+Q7)*(N7+P7)*(O7+Q7)</f>
        <v>129279788376</v>
      </c>
      <c r="U7" s="31">
        <f t="shared" ref="U7:U15" si="8">IF((S7&gt;0),S7/T7,"- -")</f>
        <v>0.30252164233323048</v>
      </c>
    </row>
    <row r="8" spans="2:21" ht="18" customHeight="1">
      <c r="B8" s="32" t="str">
        <f>'Data Entry'!A8</f>
        <v>3. Refer to Juvenile Court</v>
      </c>
      <c r="C8" s="33">
        <f>'Data Entry'!C8</f>
        <v>60</v>
      </c>
      <c r="D8" s="34">
        <f>IF((AND(C67&gt;0,C8&gt;0)),(C8/C67),0)</f>
        <v>3000</v>
      </c>
      <c r="E8" s="33">
        <f>'Data Entry'!J8</f>
        <v>10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10</v>
      </c>
      <c r="O8" s="42">
        <f>((D67*L67)-E8)+0.05</f>
        <v>-9.9499999999999993</v>
      </c>
      <c r="P8" s="42">
        <f t="shared" si="4"/>
        <v>60</v>
      </c>
      <c r="Q8" s="42">
        <f>(C$67*L67)-C8</f>
        <v>-58</v>
      </c>
      <c r="R8" s="42">
        <f t="shared" si="5"/>
        <v>2.0499999999999972</v>
      </c>
      <c r="S8" s="30">
        <f t="shared" si="6"/>
        <v>592.44999999999914</v>
      </c>
      <c r="T8" s="30">
        <f t="shared" si="7"/>
        <v>-475.6500000000068</v>
      </c>
      <c r="U8" s="31">
        <f t="shared" si="8"/>
        <v>-1.2455587091348486</v>
      </c>
    </row>
    <row r="9" spans="2:21" ht="18" customHeight="1">
      <c r="B9" s="32" t="str">
        <f>'Data Entry'!A9</f>
        <v xml:space="preserve">4. Cases Diverted </v>
      </c>
      <c r="C9" s="33">
        <f>'Data Entry'!C9</f>
        <v>3</v>
      </c>
      <c r="D9" s="34">
        <f>IF((AND(C68&gt;0,C9&gt;0)),((C9/C68)),0)</f>
        <v>5</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10</v>
      </c>
      <c r="P9" s="42">
        <f t="shared" si="4"/>
        <v>3</v>
      </c>
      <c r="Q9" s="42">
        <f>(C$68*L68)-C9</f>
        <v>57</v>
      </c>
      <c r="R9" s="42">
        <f t="shared" si="5"/>
        <v>70</v>
      </c>
      <c r="S9" s="30">
        <f t="shared" si="6"/>
        <v>63000</v>
      </c>
      <c r="T9" s="30">
        <f t="shared" si="7"/>
        <v>120600</v>
      </c>
      <c r="U9" s="31">
        <f t="shared" si="8"/>
        <v>0.52238805970149249</v>
      </c>
    </row>
    <row r="10" spans="2:21" ht="18" customHeight="1">
      <c r="B10" s="32" t="str">
        <f>'Data Entry'!A10</f>
        <v>5. Cases Involving Secure Detention</v>
      </c>
      <c r="C10" s="33">
        <f>'Data Entry'!C10</f>
        <v>2</v>
      </c>
      <c r="D10" s="34">
        <f>IF(((AND(C68&gt;0,C10&gt;0))),(C10/(C68)),0)</f>
        <v>3.3333333333333335</v>
      </c>
      <c r="E10" s="33">
        <f>'Data Entry'!J10</f>
        <v>1</v>
      </c>
      <c r="F10" s="34">
        <f>IF(((AND($E$10&gt;0,$D$68&gt;0))),($E$10/($D$68)),0)</f>
        <v>10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9</v>
      </c>
      <c r="P10" s="42">
        <f t="shared" si="4"/>
        <v>2</v>
      </c>
      <c r="Q10" s="42">
        <f>(C$68*L68)-C10</f>
        <v>58</v>
      </c>
      <c r="R10" s="42">
        <f t="shared" si="5"/>
        <v>70</v>
      </c>
      <c r="S10" s="30">
        <f t="shared" si="6"/>
        <v>112000</v>
      </c>
      <c r="T10" s="30">
        <f t="shared" si="7"/>
        <v>120600</v>
      </c>
      <c r="U10" s="31">
        <f t="shared" si="8"/>
        <v>0.9286898839137645</v>
      </c>
    </row>
    <row r="11" spans="2:21" ht="18" customHeight="1">
      <c r="B11" s="32" t="str">
        <f>'Data Entry'!A11</f>
        <v>6. Cases Petitioned (Charge Filed)</v>
      </c>
      <c r="C11" s="33">
        <f>'Data Entry'!C11</f>
        <v>17</v>
      </c>
      <c r="D11" s="34">
        <f>IF(((AND(C68&gt;0,C11&gt;0))),(C11/(C68)),0)</f>
        <v>28.333333333333336</v>
      </c>
      <c r="E11" s="33">
        <f>'Data Entry'!J11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10</v>
      </c>
      <c r="P11" s="42">
        <f t="shared" si="4"/>
        <v>17</v>
      </c>
      <c r="Q11" s="42">
        <f>(C$68*L68)-C11</f>
        <v>43</v>
      </c>
      <c r="R11" s="42">
        <f t="shared" si="5"/>
        <v>70</v>
      </c>
      <c r="S11" s="30">
        <f t="shared" si="6"/>
        <v>2023000</v>
      </c>
      <c r="T11" s="30">
        <f t="shared" si="7"/>
        <v>540600</v>
      </c>
      <c r="U11" s="31">
        <f t="shared" si="8"/>
        <v>3.742138364779874</v>
      </c>
    </row>
    <row r="12" spans="2:21" ht="18" customHeight="1">
      <c r="B12" s="32" t="str">
        <f>'Data Entry'!A12</f>
        <v>7. Cases Resulting in Delinquent Findings</v>
      </c>
      <c r="C12" s="33">
        <f>'Data Entry'!C12</f>
        <v>10</v>
      </c>
      <c r="D12" s="34">
        <f>IF(((AND(C69&gt;0,C12&gt;0))),(C12/(C69)),0)</f>
        <v>58.823529411764703</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380</v>
      </c>
      <c r="E13" s="33">
        <f>'Data Entry'!J13</f>
        <v>4</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4</v>
      </c>
      <c r="O13" s="42">
        <f>(D70*L70)-E13</f>
        <v>-4</v>
      </c>
      <c r="P13" s="42">
        <f t="shared" si="4"/>
        <v>38</v>
      </c>
      <c r="Q13" s="42">
        <f>(C70*L70)-C13</f>
        <v>-28</v>
      </c>
      <c r="R13" s="42">
        <f t="shared" si="5"/>
        <v>10</v>
      </c>
      <c r="S13" s="30">
        <f t="shared" si="6"/>
        <v>16000</v>
      </c>
      <c r="T13" s="30">
        <f t="shared" si="7"/>
        <v>0</v>
      </c>
      <c r="U13" s="31" t="e">
        <f t="shared" si="8"/>
        <v>#DIV/0!</v>
      </c>
    </row>
    <row r="14" spans="2:21" ht="30.75" customHeight="1">
      <c r="B14" s="32" t="str">
        <f>'Data Entry'!A14</f>
        <v xml:space="preserve">9. Cases Resulting in Confinement in Secure Juvenile Correctional Facilities </v>
      </c>
      <c r="C14" s="33">
        <f>'Data Entry'!C14</f>
        <v>5</v>
      </c>
      <c r="D14" s="34">
        <f>IF(((AND(C70&gt;0,C14&gt;0))), ((C14/(C70))),0)</f>
        <v>50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7.1879999999999997</v>
      </c>
      <c r="D42" s="56">
        <f>E6/1000</f>
        <v>1.087</v>
      </c>
      <c r="E42" s="56">
        <f>MAX(C42:D42)</f>
        <v>7.1879999999999997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v>
      </c>
      <c r="D44" s="56">
        <f>E8/100</f>
        <v>0.1</v>
      </c>
      <c r="E44" s="56">
        <f>MAX(C44:D44,0)</f>
        <v>0.6</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7.1879999999999997</v>
      </c>
      <c r="D48" s="56">
        <f>D42</f>
        <v>1.087</v>
      </c>
      <c r="E48" s="56">
        <f>MAX(C48:D48)</f>
        <v>7.1879999999999997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0.1</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7.1879999999999997</v>
      </c>
      <c r="D54" s="56">
        <f>D48</f>
        <v>1.087</v>
      </c>
      <c r="E54" s="56">
        <f>MAX(C54:D54)</f>
        <v>7.1879999999999997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v>
      </c>
      <c r="D56" s="49">
        <f t="shared" si="10"/>
        <v>0.1</v>
      </c>
      <c r="E56" s="49">
        <f>MAX(C56:D56)</f>
        <v>0.6</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7.1879999999999997</v>
      </c>
      <c r="D60" s="56">
        <f>D54</f>
        <v>1.087</v>
      </c>
      <c r="E60" s="56">
        <f>MAX(C60:D60)</f>
        <v>7.1879999999999997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v>
      </c>
      <c r="D62" s="49">
        <f t="shared" si="11"/>
        <v>0.1</v>
      </c>
      <c r="E62" s="49">
        <f>MAX(C62:D62)</f>
        <v>0.6</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7.1879999999999997</v>
      </c>
      <c r="D66" s="56">
        <f>D60</f>
        <v>1.087</v>
      </c>
      <c r="E66" s="56">
        <f>MAX(C66:D66)</f>
        <v>7.1879999999999997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v>
      </c>
      <c r="D68" s="49">
        <f t="shared" si="12"/>
        <v>0.1</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Clinton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#DIV/0!</v>
      </c>
      <c r="M13" s="1" t="e">
        <f>Hispanic!L13</f>
        <v>#DIV/0!</v>
      </c>
      <c r="N13" s="1" t="e">
        <f>Asian!L13</f>
        <v>#VALUE!</v>
      </c>
      <c r="O13" s="1" t="e">
        <f>Hawaiian!L13</f>
        <v>#VALUE!</v>
      </c>
      <c r="P13" s="1" t="e">
        <f>'Am Indian'!L13</f>
        <v>#VALUE!</v>
      </c>
      <c r="Q13" s="1" t="e">
        <f>'Other - Mixed'!L13</f>
        <v>#VALUE!</v>
      </c>
      <c r="R13" s="1" t="e">
        <f>'All Minorities'!L13</f>
        <v>#DIV/0!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8275</v>
      </c>
      <c r="D3" s="57">
        <f>'Data Entry'!C6</f>
        <v>7188</v>
      </c>
      <c r="E3" s="57">
        <f>'Data Entry'!D6</f>
        <v>295</v>
      </c>
      <c r="F3" s="57">
        <f>'Data Entry'!E6</f>
        <v>610</v>
      </c>
      <c r="G3" s="57">
        <f>'Data Entry'!F6</f>
        <v>144</v>
      </c>
      <c r="H3" s="57">
        <f>'Data Entry'!G6</f>
        <v>0</v>
      </c>
      <c r="I3" s="57">
        <f>'Data Entry'!H6</f>
        <v>38</v>
      </c>
      <c r="J3" s="57">
        <f>'Data Entry'!I6</f>
        <v>0</v>
      </c>
      <c r="K3" s="57">
        <f>'Data Entry'!J6</f>
        <v>1087</v>
      </c>
    </row>
    <row r="4" spans="2:11" ht="15" customHeight="1">
      <c r="B4" s="16" t="s">
        <v>8</v>
      </c>
      <c r="C4" s="1">
        <f>IF((C$3&gt;0),(1000*('Data Entry'!B7/'Data Entry'!B$6)), 0)</f>
        <v>0.2416918429003021</v>
      </c>
      <c r="D4" s="1">
        <f>IF((D$3&gt;0),(1000*('Data Entry'!C7/'Data Entry'!C$6)), 0)</f>
        <v>0.2782415136338342</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10.030211480362539</v>
      </c>
      <c r="D5" s="1">
        <f>IF((D$3&gt;0),(1000*('Data Entry'!C8/'Data Entry'!C$6)), 0)</f>
        <v>8.3472454090150254</v>
      </c>
      <c r="E5" s="1">
        <f>IF((E$3&gt;0),(1000*('Data Entry'!D8/'Data Entry'!D$6)), 0)</f>
        <v>20.338983050847457</v>
      </c>
      <c r="F5" s="1">
        <f>IF((F$3&gt;0),(1000*('Data Entry'!E8/'Data Entry'!E$6)), 0)</f>
        <v>6.557377049180328</v>
      </c>
      <c r="G5" s="1">
        <f>IF((G$3&gt;0),(1000*('Data Entry'!F8/'Data Entry'!F$6)), 0)</f>
        <v>0</v>
      </c>
      <c r="H5" s="1">
        <f>IF((H$3&gt;0),(1000*('Data Entry'!G8/'Data Entry'!G$6)), 0)</f>
        <v>0</v>
      </c>
      <c r="I5" s="1">
        <f>IF((I$3&gt;0),(1000*('Data Entry'!H8/'Data Entry'!H$6)), 0)</f>
        <v>0</v>
      </c>
      <c r="J5" s="1">
        <f>IF((J$3&gt;0),(1000*('Data Entry'!I8/'Data Entry'!I$6)), 0)</f>
        <v>0</v>
      </c>
      <c r="K5" s="1">
        <f>IF((K$3&gt;0),(1000*('Data Entry'!J8/'Data Entry'!J$6)), 0)</f>
        <v>9.1996320147194108</v>
      </c>
    </row>
    <row r="6" spans="2:11" ht="15" customHeight="1">
      <c r="B6" s="16" t="s">
        <v>10</v>
      </c>
      <c r="C6" s="1">
        <f>IF((C$3&gt;0),(1000*('Data Entry'!B9/'Data Entry'!B$6)), 0)</f>
        <v>0.36253776435045315</v>
      </c>
      <c r="D6" s="1">
        <f>IF((D$3&gt;0),(1000*('Data Entry'!C9/'Data Entry'!C$6)), 0)</f>
        <v>0.41736227045075125</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0.36253776435045315</v>
      </c>
      <c r="D7" s="1">
        <f>IF((D$3&gt;0),(1000*('Data Entry'!C10/'Data Entry'!C$6)), 0)</f>
        <v>0.2782415136338342</v>
      </c>
      <c r="E7" s="1">
        <f>IF((E$3&gt;0),(1000*('Data Entry'!D10/'Data Entry'!D$6)), 0)</f>
        <v>3.3898305084745761</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0.91996320147194111</v>
      </c>
    </row>
    <row r="8" spans="2:11" ht="15" customHeight="1">
      <c r="B8" s="16" t="s">
        <v>95</v>
      </c>
      <c r="C8" s="1">
        <f>IF((C$3&gt;0),(1000*('Data Entry'!B11/'Data Entry'!B$6)), 0)</f>
        <v>2.2960725075528701</v>
      </c>
      <c r="D8" s="1">
        <f>IF((D$3&gt;0),(1000*('Data Entry'!C11/'Data Entry'!C$6)), 0)</f>
        <v>2.3650528658875904</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1.2084592145015105</v>
      </c>
      <c r="D9" s="1">
        <f>IF((D$3&gt;0),(1000*('Data Entry'!C12/'Data Entry'!C$6)), 0)</f>
        <v>1.3912075681691707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5.0755287009063448</v>
      </c>
      <c r="D10" s="1">
        <f>IF((D$3&gt;0),(1000*('Data Entry'!C13/'Data Entry'!C$6)), 0)</f>
        <v>5.2865887590428491</v>
      </c>
      <c r="E10" s="1">
        <f>IF((E$3&gt;0),(1000*('Data Entry'!D13/'Data Entry'!D$6)), 0)</f>
        <v>6.7796610169491522</v>
      </c>
      <c r="F10" s="1">
        <f>IF((F$3&gt;0),(1000*('Data Entry'!E13/'Data Entry'!E$6)), 0)</f>
        <v>3.278688524590164</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3.6798528058877644</v>
      </c>
    </row>
    <row r="11" spans="2:11" ht="25.5" customHeight="1">
      <c r="B11" s="16" t="s">
        <v>15</v>
      </c>
      <c r="C11" s="1">
        <f>IF((C$3&gt;0),(1000*('Data Entry'!B14/'Data Entry'!B$6)), 0)</f>
        <v>0.60422960725075525</v>
      </c>
      <c r="D11" s="1">
        <f>IF((D$3&gt;0),(1000*('Data Entry'!C14/'Data Entry'!C$6)), 0)</f>
        <v>0.69560378408458534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Clinton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2.4366101694915252</v>
      </c>
      <c r="E20" s="72">
        <f t="shared" si="2"/>
        <v>0.78557377049180321</v>
      </c>
      <c r="F20" s="72" t="str">
        <f t="shared" si="2"/>
        <v>--</v>
      </c>
      <c r="G20" s="72" t="str">
        <f t="shared" si="2"/>
        <v>--</v>
      </c>
      <c r="H20" s="72" t="str">
        <f t="shared" si="2"/>
        <v>--</v>
      </c>
      <c r="I20" s="72" t="str">
        <f t="shared" si="2"/>
        <v>--</v>
      </c>
      <c r="J20" s="73">
        <f t="shared" si="2"/>
        <v>1.1021159153633853</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f t="shared" si="2"/>
        <v>12.183050847457626</v>
      </c>
      <c r="E22" s="72" t="str">
        <f t="shared" si="2"/>
        <v>--</v>
      </c>
      <c r="F22" s="72" t="str">
        <f t="shared" si="2"/>
        <v>--</v>
      </c>
      <c r="G22" s="72" t="str">
        <f t="shared" si="2"/>
        <v>--</v>
      </c>
      <c r="H22" s="72" t="str">
        <f t="shared" si="2"/>
        <v>--</v>
      </c>
      <c r="I22" s="72" t="str">
        <f t="shared" si="2"/>
        <v>--</v>
      </c>
      <c r="J22" s="73">
        <f t="shared" si="2"/>
        <v>3.306347746090156</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f t="shared" si="2"/>
        <v>1.2824264049955396</v>
      </c>
      <c r="E25" s="72">
        <f t="shared" si="2"/>
        <v>0.62018981880931845</v>
      </c>
      <c r="F25" s="72" t="str">
        <f t="shared" si="2"/>
        <v>--</v>
      </c>
      <c r="G25" s="72" t="str">
        <f t="shared" si="2"/>
        <v>--</v>
      </c>
      <c r="H25" s="72" t="str">
        <f t="shared" si="2"/>
        <v>--</v>
      </c>
      <c r="I25" s="72" t="str">
        <f t="shared" si="2"/>
        <v>--</v>
      </c>
      <c r="J25" s="73">
        <f t="shared" si="2"/>
        <v>0.69607320970319086</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Clinton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7188</v>
      </c>
      <c r="D7" s="104">
        <f>'Data Entry'!D6</f>
        <v>295</v>
      </c>
      <c r="E7" s="105"/>
      <c r="F7" s="106">
        <f>'Data Entry'!E6</f>
        <v>610</v>
      </c>
      <c r="G7" s="105"/>
      <c r="H7" s="106">
        <f>'Data Entry'!F6</f>
        <v>144</v>
      </c>
      <c r="I7" s="105"/>
      <c r="J7" s="106">
        <f>'Data Entry'!G6</f>
        <v>0</v>
      </c>
      <c r="K7" s="105"/>
      <c r="L7" s="106">
        <f>'Data Entry'!H6</f>
        <v>38</v>
      </c>
      <c r="M7" s="105"/>
      <c r="N7" s="106">
        <f>'Data Entry'!I6</f>
        <v>0</v>
      </c>
      <c r="O7" s="105"/>
      <c r="P7" s="106">
        <f>'Data Entry'!J6</f>
        <v>1087</v>
      </c>
      <c r="Q7" s="107"/>
    </row>
    <row r="8" spans="2:26" s="1" customFormat="1" ht="15" customHeight="1">
      <c r="B8" s="142" t="s">
        <v>8</v>
      </c>
      <c r="C8" s="103">
        <f>'Data Entry'!C7</f>
        <v>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60</v>
      </c>
      <c r="D9" s="108">
        <f>'Data Entry'!D8</f>
        <v>6</v>
      </c>
      <c r="E9" s="109" t="str">
        <f>'Black or African-American'!$G8</f>
        <v>**</v>
      </c>
      <c r="F9" s="110">
        <f>'Data Entry'!E8</f>
        <v>4</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10</v>
      </c>
      <c r="Q9" s="111" t="str">
        <f>'All Minorities'!G8</f>
        <v>**</v>
      </c>
      <c r="R9"/>
      <c r="T9" s="1">
        <f>'Black or African-American'!L8</f>
        <v>40</v>
      </c>
      <c r="U9" s="1">
        <f>Hispanic!L8</f>
        <v>40</v>
      </c>
      <c r="V9" s="1">
        <f>Asian!L8</f>
        <v>40</v>
      </c>
      <c r="W9" s="1">
        <f>Hawaiian!L8</f>
        <v>139</v>
      </c>
      <c r="X9" s="1">
        <f>'Am Indian'!L8</f>
        <v>139</v>
      </c>
      <c r="Y9" s="1">
        <f>'Other - Mixed'!L8</f>
        <v>139</v>
      </c>
      <c r="Z9" s="1">
        <f>'All Minorities'!L8</f>
        <v>40</v>
      </c>
    </row>
    <row r="10" spans="2:26" s="1" customFormat="1" ht="15" customHeight="1">
      <c r="B10" s="142"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f>Hispanic!L9</f>
        <v>40</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2</v>
      </c>
      <c r="D11" s="108">
        <f>'Data Entry'!D10</f>
        <v>1</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1</v>
      </c>
      <c r="Q11" s="111" t="str">
        <f>'All Minorities'!G10</f>
        <v>**</v>
      </c>
      <c r="R11"/>
      <c r="T11" s="1">
        <f>'Black or African-American'!L10</f>
        <v>40</v>
      </c>
      <c r="U11" s="1">
        <f>Hispanic!L10</f>
        <v>40</v>
      </c>
      <c r="V11" s="1" t="e">
        <f>Asian!L10</f>
        <v>#VALUE!</v>
      </c>
      <c r="W11" s="1" t="e">
        <f>Hawaiian!L10</f>
        <v>#VALUE!</v>
      </c>
      <c r="X11" s="1" t="e">
        <f>'Am Indian'!L10</f>
        <v>#VALUE!</v>
      </c>
      <c r="Y11" s="1" t="e">
        <f>'Other - Mixed'!L10</f>
        <v>#VALUE!</v>
      </c>
      <c r="Z11" s="1">
        <f>'All Minorities'!L10</f>
        <v>40</v>
      </c>
    </row>
    <row r="12" spans="2:26" s="1" customFormat="1" ht="15" customHeight="1">
      <c r="B12" s="142" t="s">
        <v>95</v>
      </c>
      <c r="C12" s="103">
        <f>'Data Entry'!C11</f>
        <v>17</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f>'Black or African-American'!L11</f>
        <v>40</v>
      </c>
      <c r="U12" s="1">
        <f>Hispanic!L11</f>
        <v>40</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10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38</v>
      </c>
      <c r="D14" s="112">
        <f>'Data Entry'!D13</f>
        <v>2</v>
      </c>
      <c r="E14" s="113" t="str">
        <f>'Black or African-American'!$G13</f>
        <v>--</v>
      </c>
      <c r="F14" s="114">
        <f>'Data Entry'!E13</f>
        <v>2</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4</v>
      </c>
      <c r="Q14" s="115" t="str">
        <f>'All Minorities'!G13</f>
        <v>--</v>
      </c>
      <c r="R14"/>
      <c r="T14" s="1" t="e">
        <f>'Black or African-American'!L13</f>
        <v>#DIV/0!</v>
      </c>
      <c r="U14" s="1" t="e">
        <f>Hispanic!L13</f>
        <v>#DIV/0!</v>
      </c>
      <c r="V14" s="1" t="e">
        <f>Asian!L13</f>
        <v>#VALUE!</v>
      </c>
      <c r="W14" s="1" t="e">
        <f>Hawaiian!L13</f>
        <v>#VALUE!</v>
      </c>
      <c r="X14" s="1" t="e">
        <f>'Am Indian'!L13</f>
        <v>#VALUE!</v>
      </c>
      <c r="Y14" s="1" t="e">
        <f>'Other - Mixed'!L13</f>
        <v>#VALUE!</v>
      </c>
      <c r="Z14" s="1" t="e">
        <f>'All Minorities'!L13</f>
        <v>#DIV/0!</v>
      </c>
    </row>
    <row r="15" spans="2:26" s="1" customFormat="1" ht="33">
      <c r="B15" s="144"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Clinton</v>
      </c>
    </row>
    <row r="6" spans="1:12">
      <c r="A6" s="135" t="str">
        <f>CONCATENATE("Percentage of Minorities at Stages of the Juvenile Justice System, ", A5, " 2022")</f>
        <v>Percentage of Minorities at Stages of the Juvenile Justice System, County: Clinton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6.6126954921803129</v>
      </c>
    </row>
    <row r="8" spans="1:12" ht="25.5" customHeight="1">
      <c r="A8" s="151" t="str">
        <f>CONCATENATE("Confinement, total N=", 'Data Entry'!B14)</f>
        <v>Confinement, total N=5</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N=5</v>
      </c>
      <c r="L8">
        <f>I14/(SUM(B14:G14))</f>
        <v>6.6126954921803129</v>
      </c>
    </row>
    <row r="9" spans="1:12">
      <c r="A9" s="128" t="str">
        <f>CONCATENATE("Delinquent Findings, total N=", 'Data Entry'!B12)</f>
        <v>Delinquent Findings, total N=10</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N=10</v>
      </c>
      <c r="L9">
        <f>I14/(SUM(B14:G14))</f>
        <v>6.6126954921803129</v>
      </c>
    </row>
    <row r="10" spans="1:12">
      <c r="A10" s="128" t="str">
        <f>CONCATENATE("Petitions, total N=", 'Data Entry'!B11)</f>
        <v>Petitions, total N=19</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0.89473684210526316</v>
      </c>
      <c r="K10" s="96" t="str">
        <f t="shared" si="0"/>
        <v>Petitions, total N=19</v>
      </c>
      <c r="L10">
        <f>I14/(SUM(B14:G14))</f>
        <v>6.6126954921803129</v>
      </c>
    </row>
    <row r="11" spans="1:12">
      <c r="A11" s="128" t="str">
        <f>CONCATENATE("Detentions, total N=", 'Data Entry'!B10)</f>
        <v>Detentions, total N=3</v>
      </c>
      <c r="B11" s="150">
        <f>'Data Entry'!D10/'Data Entry'!B10</f>
        <v>0.33333333333333331</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0.66666666666666663</v>
      </c>
      <c r="K11" s="96" t="str">
        <f t="shared" si="0"/>
        <v>Detentions, total N=3</v>
      </c>
      <c r="L11">
        <f>I14/(SUM(B14:G14))</f>
        <v>6.6126954921803129</v>
      </c>
    </row>
    <row r="12" spans="1:12">
      <c r="A12" s="128" t="str">
        <f>CONCATENATE("Referrals, total N=", 'Data Entry'!B8)</f>
        <v>Referrals, total N=83</v>
      </c>
      <c r="B12" s="150">
        <f>'Data Entry'!D8/'Data Entry'!B8</f>
        <v>7.2289156626506021E-2</v>
      </c>
      <c r="C12" s="150">
        <f>'Data Entry'!E8/'Data Entry'!B8</f>
        <v>4.8192771084337352E-2</v>
      </c>
      <c r="D12" s="150">
        <f>'Data Entry'!F8/'Data Entry'!B8</f>
        <v>0</v>
      </c>
      <c r="E12" s="150">
        <f>'Data Entry'!G8/'Data Entry'!B8</f>
        <v>0</v>
      </c>
      <c r="F12" s="150">
        <f>'Data Entry'!H8/'Data Entry'!B8</f>
        <v>0</v>
      </c>
      <c r="G12" s="150">
        <f>'Data Entry'!I8/'Data Entry'!B8</f>
        <v>0</v>
      </c>
      <c r="H12" s="150">
        <f>SUM(D12:G12)/'Data Entry'!B8</f>
        <v>0</v>
      </c>
      <c r="I12" s="150">
        <f>'Data Entry'!C8/'Data Entry'!B8</f>
        <v>0.72289156626506024</v>
      </c>
      <c r="K12" s="96" t="str">
        <f t="shared" si="0"/>
        <v>Referrals, total N=83</v>
      </c>
      <c r="L12">
        <f>I14/(SUM(B14:G14))</f>
        <v>6.6126954921803129</v>
      </c>
    </row>
    <row r="13" spans="1:12">
      <c r="A13" s="128" t="str">
        <f>CONCATENATE("Arrests, total N=", 'Data Entry'!B7)</f>
        <v>Arrests, total N=2</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N=2</v>
      </c>
      <c r="L13">
        <f>I14/(SUM(B14:G14))</f>
        <v>6.6126954921803129</v>
      </c>
    </row>
    <row r="14" spans="1:12">
      <c r="A14" s="128" t="str">
        <f>CONCATENATE("Population, total N=", 'Data Entry'!B6)</f>
        <v>Population, total N=8275</v>
      </c>
      <c r="B14" s="150">
        <f>'Data Entry'!D6/'Data Entry'!B6</f>
        <v>3.5649546827794559E-2</v>
      </c>
      <c r="C14" s="150">
        <f>'Data Entry'!E6/'Data Entry'!B6</f>
        <v>7.371601208459215E-2</v>
      </c>
      <c r="D14" s="150">
        <f>'Data Entry'!F6/'Data Entry'!B6</f>
        <v>1.7401812688821752E-2</v>
      </c>
      <c r="E14" s="150">
        <f>'Data Entry'!G6/'Data Entry'!B6</f>
        <v>0</v>
      </c>
      <c r="F14" s="150">
        <f>'Data Entry'!H6/'Data Entry'!B6</f>
        <v>4.5921450151057402E-3</v>
      </c>
      <c r="G14" s="150">
        <f>'Data Entry'!I6/'Data Entry'!B6</f>
        <v>0</v>
      </c>
      <c r="H14" s="150">
        <f>SUM(D14:G14)/'Data Entry'!B6</f>
        <v>2.6578800850667666E-6</v>
      </c>
      <c r="I14" s="150">
        <f>'Data Entry'!C6/'Data Entry'!B6</f>
        <v>0.86864048338368582</v>
      </c>
      <c r="K14" s="96" t="str">
        <f t="shared" si="0"/>
        <v>Population, total N=8275</v>
      </c>
      <c r="L14">
        <f>I14/(SUM(B14:G14))</f>
        <v>6.6126954921803129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Clinton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7188</v>
      </c>
      <c r="D7" s="104">
        <f>'Data Entry'!D6</f>
        <v>295</v>
      </c>
      <c r="E7" s="105"/>
      <c r="F7" s="106">
        <f>'Data Entry'!E6</f>
        <v>610</v>
      </c>
      <c r="G7" s="105"/>
      <c r="H7" s="106">
        <f>'Data Entry'!F6</f>
        <v>144</v>
      </c>
      <c r="I7" s="105"/>
      <c r="J7" s="106">
        <f>'Data Entry'!J6</f>
        <v>1087</v>
      </c>
      <c r="K7" s="107"/>
    </row>
    <row r="8" spans="2:30" s="1" customFormat="1" ht="15" customHeight="1">
      <c r="B8" s="121" t="s">
        <v>8</v>
      </c>
      <c r="C8" s="103">
        <f>'Data Entry'!C7</f>
        <v>2</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60</v>
      </c>
      <c r="D9" s="108">
        <f>'Data Entry'!D8</f>
        <v>6</v>
      </c>
      <c r="E9" s="109" t="str">
        <f>'Black or African-American'!$G8</f>
        <v>**</v>
      </c>
      <c r="F9" s="110">
        <f>'Data Entry'!E8</f>
        <v>4</v>
      </c>
      <c r="G9" s="109" t="str">
        <f>Hispanic!G8</f>
        <v>**</v>
      </c>
      <c r="H9" s="110">
        <f>'Data Entry'!F8</f>
        <v>0</v>
      </c>
      <c r="I9" s="109" t="str">
        <f>Asian!G8</f>
        <v>**</v>
      </c>
      <c r="J9" s="110">
        <f>'Data Entry'!J8</f>
        <v>10</v>
      </c>
      <c r="K9" s="111" t="str">
        <f>'All Minorities'!G8</f>
        <v>**</v>
      </c>
      <c r="L9"/>
      <c r="N9" s="1">
        <f>'Black or African-American'!L8</f>
        <v>40</v>
      </c>
      <c r="O9" s="1">
        <f>Hispanic!L8</f>
        <v>40</v>
      </c>
      <c r="P9" s="1">
        <f>Asian!L8</f>
        <v>40</v>
      </c>
      <c r="Q9" s="1">
        <f>Hawaiian!L8</f>
        <v>139</v>
      </c>
      <c r="R9" s="1">
        <f>'Am Indian'!L8</f>
        <v>139</v>
      </c>
      <c r="S9" s="1">
        <f>'Other - Mixed'!L8</f>
        <v>139</v>
      </c>
      <c r="T9" s="1">
        <f>'All Minorities'!L8</f>
        <v>40</v>
      </c>
    </row>
    <row r="10" spans="2:30" s="1" customFormat="1" ht="15" customHeight="1">
      <c r="B10" s="121"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f>Hispanic!L9</f>
        <v>40</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2</v>
      </c>
      <c r="D11" s="108">
        <f>'Data Entry'!D10</f>
        <v>1</v>
      </c>
      <c r="E11" s="109" t="str">
        <f>'Black or African-American'!$G10</f>
        <v>**</v>
      </c>
      <c r="F11" s="110">
        <f>'Data Entry'!E10</f>
        <v>0</v>
      </c>
      <c r="G11" s="109" t="str">
        <f>Hispanic!G10</f>
        <v>**</v>
      </c>
      <c r="H11" s="110">
        <f>'Data Entry'!F10</f>
        <v>0</v>
      </c>
      <c r="I11" s="109" t="str">
        <f>Asian!G10</f>
        <v>--</v>
      </c>
      <c r="J11" s="110">
        <f>'Data Entry'!J10</f>
        <v>1</v>
      </c>
      <c r="K11" s="111" t="str">
        <f>'All Minorities'!G10</f>
        <v>**</v>
      </c>
      <c r="L11"/>
      <c r="N11" s="1">
        <f>'Black or African-American'!L10</f>
        <v>40</v>
      </c>
      <c r="O11" s="1">
        <f>Hispanic!L10</f>
        <v>40</v>
      </c>
      <c r="P11" s="1" t="e">
        <f>Asian!L10</f>
        <v>#VALUE!</v>
      </c>
      <c r="Q11" s="1" t="e">
        <f>Hawaiian!L10</f>
        <v>#VALUE!</v>
      </c>
      <c r="R11" s="1" t="e">
        <f>'Am Indian'!L10</f>
        <v>#VALUE!</v>
      </c>
      <c r="S11" s="1" t="e">
        <f>'Other - Mixed'!L10</f>
        <v>#VALUE!</v>
      </c>
      <c r="T11" s="1">
        <f>'All Minorities'!L10</f>
        <v>40</v>
      </c>
    </row>
    <row r="12" spans="2:30" s="1" customFormat="1" ht="15" customHeight="1">
      <c r="B12" s="121" t="s">
        <v>95</v>
      </c>
      <c r="C12" s="103">
        <f>'Data Entry'!C11</f>
        <v>17</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f>'Black or African-American'!L11</f>
        <v>40</v>
      </c>
      <c r="O12" s="1">
        <f>Hispanic!L11</f>
        <v>40</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10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38</v>
      </c>
      <c r="D14" s="112">
        <f>'Data Entry'!D13</f>
        <v>2</v>
      </c>
      <c r="E14" s="113" t="str">
        <f>'Black or African-American'!$G13</f>
        <v>--</v>
      </c>
      <c r="F14" s="114">
        <f>'Data Entry'!E13</f>
        <v>2</v>
      </c>
      <c r="G14" s="113" t="str">
        <f>Hispanic!G13</f>
        <v>--</v>
      </c>
      <c r="H14" s="114">
        <f>'Data Entry'!F13</f>
        <v>0</v>
      </c>
      <c r="I14" s="113" t="str">
        <f>Asian!G13</f>
        <v>--</v>
      </c>
      <c r="J14" s="114">
        <f>'Data Entry'!J13</f>
        <v>4</v>
      </c>
      <c r="K14" s="115" t="str">
        <f>'All Minorities'!G13</f>
        <v>--</v>
      </c>
      <c r="L14"/>
      <c r="N14" s="1" t="e">
        <f>'Black or African-American'!L13</f>
        <v>#DIV/0!</v>
      </c>
      <c r="O14" s="1" t="e">
        <f>Hispanic!L13</f>
        <v>#DIV/0!</v>
      </c>
      <c r="P14" s="1" t="e">
        <f>Asian!L13</f>
        <v>#VALUE!</v>
      </c>
      <c r="Q14" s="1" t="e">
        <f>Hawaiian!L13</f>
        <v>#VALUE!</v>
      </c>
      <c r="R14" s="1" t="e">
        <f>'Am Indian'!L13</f>
        <v>#VALUE!</v>
      </c>
      <c r="S14" s="1" t="e">
        <f>'Other - Mixed'!L13</f>
        <v>#VALUE!</v>
      </c>
      <c r="T14" s="1" t="e">
        <f>'All Minorities'!L13</f>
        <v>#DIV/0!</v>
      </c>
      <c r="W14" s="8"/>
      <c r="X14" s="8"/>
      <c r="Y14" s="8"/>
      <c r="Z14" s="8"/>
      <c r="AA14" s="8"/>
      <c r="AB14" s="8"/>
      <c r="AC14" s="8"/>
      <c r="AD14" s="8"/>
    </row>
    <row r="15" spans="2:30" s="1" customFormat="1" ht="33">
      <c r="B15" s="126"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7188</v>
      </c>
      <c r="D6" s="34"/>
      <c r="E6" s="33">
        <f>'Data Entry'!D6</f>
        <v>295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0.2782415136338342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295</v>
      </c>
      <c r="P7" s="42">
        <f t="shared" ref="P7:P15" si="2">C7</f>
        <v>2</v>
      </c>
      <c r="Q7" s="42">
        <f>C6-C7</f>
        <v>7186</v>
      </c>
      <c r="R7" s="42">
        <f t="shared" ref="R7:R15" si="3">SUM(N7:Q7)</f>
        <v>7483</v>
      </c>
      <c r="S7" s="30">
        <f t="shared" ref="S7:S15" si="4">R7*((((N7*Q7)-(O7*P7))^2))</f>
        <v>2604832300</v>
      </c>
      <c r="T7" s="30">
        <f t="shared" ref="T7:T15" si="5">(N7+O7)*(P7+Q7)*(N7+P7)*(O7+Q7)</f>
        <v>31726322520</v>
      </c>
      <c r="U7" s="31">
        <f t="shared" ref="U7:U15" si="6">IF((S7&gt;0),S7/T7,"- -")</f>
        <v>8.2103190445660265E-2</v>
      </c>
    </row>
    <row r="8" spans="2:21" ht="18" customHeight="1">
      <c r="B8" s="32" t="str">
        <f>'Data Entry'!A8</f>
        <v>3. Refer to Juvenile Court</v>
      </c>
      <c r="C8" s="33">
        <f>'Data Entry'!C8</f>
        <v>60</v>
      </c>
      <c r="D8" s="34">
        <f>IF((AND(C67&gt;0,C8&gt;0)),(C8/C67),0)</f>
        <v>3000</v>
      </c>
      <c r="E8" s="33">
        <f>'Data Entry'!D8</f>
        <v>6</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6</v>
      </c>
      <c r="O8" s="42">
        <f>((D67*L67)-E8)+0.05</f>
        <v>-5.95</v>
      </c>
      <c r="P8" s="42">
        <f t="shared" si="2"/>
        <v>60</v>
      </c>
      <c r="Q8" s="42">
        <f>(C$67*L67)-C8</f>
        <v>-58</v>
      </c>
      <c r="R8" s="42">
        <f t="shared" si="3"/>
        <v>2.0499999999999972</v>
      </c>
      <c r="S8" s="30">
        <f t="shared" si="4"/>
        <v>166.04999999999978</v>
      </c>
      <c r="T8" s="30">
        <f t="shared" si="5"/>
        <v>-422.06999999999852</v>
      </c>
      <c r="U8" s="31">
        <f t="shared" si="6"/>
        <v>-0.3934181533868798</v>
      </c>
    </row>
    <row r="9" spans="2:21" ht="18" customHeight="1">
      <c r="B9" s="32" t="str">
        <f>'Data Entry'!A9</f>
        <v xml:space="preserve">4. Cases Diverted </v>
      </c>
      <c r="C9" s="33">
        <f>'Data Entry'!C9</f>
        <v>3</v>
      </c>
      <c r="D9" s="34">
        <f>IF((AND(C68&gt;0,C9&gt;0)),((C9/C68)),0)</f>
        <v>5</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6</v>
      </c>
      <c r="P9" s="42">
        <f t="shared" si="2"/>
        <v>3</v>
      </c>
      <c r="Q9" s="42">
        <f>(C$68*L68)-C9</f>
        <v>57</v>
      </c>
      <c r="R9" s="42">
        <f t="shared" si="3"/>
        <v>66</v>
      </c>
      <c r="S9" s="30">
        <f t="shared" si="4"/>
        <v>21384</v>
      </c>
      <c r="T9" s="30">
        <f t="shared" si="5"/>
        <v>68040</v>
      </c>
      <c r="U9" s="31">
        <f t="shared" si="6"/>
        <v>0.31428571428571428</v>
      </c>
    </row>
    <row r="10" spans="2:21" ht="18" customHeight="1">
      <c r="B10" s="32" t="str">
        <f>'Data Entry'!A10</f>
        <v>5. Cases Involving Secure Detention</v>
      </c>
      <c r="C10" s="33">
        <f>'Data Entry'!C10</f>
        <v>2</v>
      </c>
      <c r="D10" s="34">
        <f>IF(((AND(C68&gt;0,C10&gt;0))),(C10/(C68)),0)</f>
        <v>3.3333333333333335</v>
      </c>
      <c r="E10" s="33">
        <f>'Data Entry'!D10</f>
        <v>1</v>
      </c>
      <c r="F10" s="34">
        <f>IF(((AND($E$10&gt;0,$D$68&gt;0))),($E$10/($D$68)),0)</f>
        <v>16.666666666666668</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1</v>
      </c>
      <c r="O10" s="42">
        <f>(D$68*L68)-E10</f>
        <v>5</v>
      </c>
      <c r="P10" s="42">
        <f t="shared" si="2"/>
        <v>2</v>
      </c>
      <c r="Q10" s="42">
        <f>(C$68*L68)-C10</f>
        <v>58</v>
      </c>
      <c r="R10" s="42">
        <f t="shared" si="3"/>
        <v>66</v>
      </c>
      <c r="S10" s="30">
        <f t="shared" si="4"/>
        <v>152064</v>
      </c>
      <c r="T10" s="30">
        <f t="shared" si="5"/>
        <v>68040</v>
      </c>
      <c r="U10" s="31">
        <f t="shared" si="6"/>
        <v>2.234920634920635</v>
      </c>
    </row>
    <row r="11" spans="2:21" ht="18" customHeight="1">
      <c r="B11" s="32" t="str">
        <f>'Data Entry'!A11</f>
        <v>6. Cases Petitioned (Charge Filed)</v>
      </c>
      <c r="C11" s="33">
        <f>'Data Entry'!C11</f>
        <v>17</v>
      </c>
      <c r="D11" s="34">
        <f>IF(((AND(C68&gt;0,C11&gt;0))),(C11/(C68)),0)</f>
        <v>28.333333333333336</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6</v>
      </c>
      <c r="P11" s="42">
        <f t="shared" si="2"/>
        <v>17</v>
      </c>
      <c r="Q11" s="42">
        <f>(C$68*L68)-C11</f>
        <v>43</v>
      </c>
      <c r="R11" s="42">
        <f t="shared" si="3"/>
        <v>66</v>
      </c>
      <c r="S11" s="30">
        <f t="shared" si="4"/>
        <v>686664</v>
      </c>
      <c r="T11" s="30">
        <f t="shared" si="5"/>
        <v>299880</v>
      </c>
      <c r="U11" s="31">
        <f t="shared" si="6"/>
        <v>2.2897959183673469</v>
      </c>
    </row>
    <row r="12" spans="2:21" ht="18" customHeight="1">
      <c r="B12" s="32" t="str">
        <f>'Data Entry'!A12</f>
        <v>7. Cases Resulting in Delinquent Findings</v>
      </c>
      <c r="C12" s="33">
        <f>'Data Entry'!C12</f>
        <v>10</v>
      </c>
      <c r="D12" s="34">
        <f>IF(((AND(C69&gt;0,C12&gt;0))),(C12/(C69)),0)</f>
        <v>58.823529411764703</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10</v>
      </c>
      <c r="Q12" s="42">
        <f>(C69*L69)-C12</f>
        <v>7</v>
      </c>
      <c r="R12" s="42">
        <f t="shared" si="3"/>
        <v>17</v>
      </c>
      <c r="S12" s="30">
        <f t="shared" si="4"/>
        <v>0</v>
      </c>
      <c r="T12" s="30">
        <f t="shared" si="5"/>
        <v>0</v>
      </c>
      <c r="U12" s="31" t="str">
        <f t="shared" si="6"/>
        <v>- -</v>
      </c>
    </row>
    <row r="13" spans="2:21" ht="18" customHeight="1">
      <c r="B13" s="32" t="str">
        <f>'Data Entry'!A13</f>
        <v>8. Cases Resulting in Probation Placement</v>
      </c>
      <c r="C13" s="33">
        <f>'Data Entry'!C13</f>
        <v>38</v>
      </c>
      <c r="D13" s="34">
        <f>IF(((AND(C70&gt;0,C13&gt;0))),(C13/(C70)),0)</f>
        <v>380</v>
      </c>
      <c r="E13" s="33">
        <f>'Data Entry'!D13</f>
        <v>2</v>
      </c>
      <c r="F13" s="34">
        <f>IF(((AND($D$70&gt;0,$E$13&gt;0))),($E$13/($D$70)),0)</f>
        <v>0</v>
      </c>
      <c r="G13" s="39" t="str">
        <f t="shared" si="7"/>
        <v>--</v>
      </c>
      <c r="H13" s="40"/>
      <c r="I13" s="41"/>
      <c r="J13" s="40" t="e">
        <f>IF((ABS($U13)&gt;Defaults!D$7),1,2)</f>
        <v>#DIV/0!</v>
      </c>
      <c r="K13" s="39">
        <f>IF((AND(N13&gt;Defaults!B$12,(N13+O13)&gt;Defaults!B$13, P13 &gt; Defaults!B$12, (P13+Q13) &gt; Defaults!B$13)),1,20)</f>
        <v>20</v>
      </c>
      <c r="L13" s="1" t="e">
        <f t="shared" si="8"/>
        <v>#DIV/0!</v>
      </c>
      <c r="M13" s="1" t="b">
        <f t="shared" si="0"/>
        <v>0</v>
      </c>
      <c r="N13" s="42">
        <f t="shared" si="1"/>
        <v>2</v>
      </c>
      <c r="O13" s="42">
        <f>(D70*L70)-E13</f>
        <v>-2</v>
      </c>
      <c r="P13" s="42">
        <f t="shared" si="2"/>
        <v>38</v>
      </c>
      <c r="Q13" s="42">
        <f>(C70*L70)-C13</f>
        <v>-28</v>
      </c>
      <c r="R13" s="42">
        <f t="shared" si="3"/>
        <v>10</v>
      </c>
      <c r="S13" s="30">
        <f t="shared" si="4"/>
        <v>4000</v>
      </c>
      <c r="T13" s="30">
        <f t="shared" si="5"/>
        <v>0</v>
      </c>
      <c r="U13" s="31" t="e">
        <f t="shared" si="6"/>
        <v>#DIV/0!</v>
      </c>
    </row>
    <row r="14" spans="2:21" ht="30.75" customHeight="1">
      <c r="B14" s="32" t="str">
        <f>'Data Entry'!A14</f>
        <v xml:space="preserve">9. Cases Resulting in Confinement in Secure Juvenile Correctional Facilities </v>
      </c>
      <c r="C14" s="33">
        <f>'Data Entry'!C14</f>
        <v>5</v>
      </c>
      <c r="D14" s="34">
        <f>IF(((AND(C70&gt;0,C14&gt;0))), ((C14/(C70))),0)</f>
        <v>50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5</v>
      </c>
      <c r="Q14" s="42">
        <f>(C70*L70)-C14</f>
        <v>5</v>
      </c>
      <c r="R14" s="42">
        <f t="shared" si="3"/>
        <v>10</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17</v>
      </c>
      <c r="R15" s="42">
        <f t="shared" si="3"/>
        <v>17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7.1879999999999997</v>
      </c>
      <c r="D42" s="56">
        <f>E6/1000</f>
        <v>0.29499999999999998</v>
      </c>
      <c r="E42" s="56">
        <f>MAX(C42:D42)</f>
        <v>7.1879999999999997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v>
      </c>
      <c r="D44" s="56">
        <f>E8/100</f>
        <v>0.06</v>
      </c>
      <c r="E44" s="56">
        <f>MAX(C44:D44,0)</f>
        <v>0.6</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7.1879999999999997</v>
      </c>
      <c r="D48" s="56">
        <f>D42</f>
        <v>0.29499999999999998</v>
      </c>
      <c r="E48" s="56">
        <f>MAX(C48:D48)</f>
        <v>7.1879999999999997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0.06</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7.1879999999999997</v>
      </c>
      <c r="D54" s="56">
        <f>D48</f>
        <v>0.29499999999999998</v>
      </c>
      <c r="E54" s="56">
        <f>MAX(C54:D54)</f>
        <v>7.1879999999999997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v>
      </c>
      <c r="D56" s="49">
        <f t="shared" si="10"/>
        <v>0.06</v>
      </c>
      <c r="E56" s="49">
        <f>MAX(C56:D56)</f>
        <v>0.6</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7.1879999999999997</v>
      </c>
      <c r="D60" s="56">
        <f>D54</f>
        <v>0.29499999999999998</v>
      </c>
      <c r="E60" s="56">
        <f>MAX(C60:D60)</f>
        <v>7.1879999999999997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v>
      </c>
      <c r="D62" s="49">
        <f t="shared" si="11"/>
        <v>0.06</v>
      </c>
      <c r="E62" s="49">
        <f>MAX(C62:D62)</f>
        <v>0.6</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7.1879999999999997</v>
      </c>
      <c r="D66" s="56">
        <f>D60</f>
        <v>0.29499999999999998</v>
      </c>
      <c r="E66" s="56">
        <f>MAX(C66:D66)</f>
        <v>7.1879999999999997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v>
      </c>
      <c r="D68" s="49">
        <f t="shared" si="12"/>
        <v>0.06</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7188</v>
      </c>
      <c r="D6" s="34"/>
      <c r="E6" s="33">
        <f>'Data Entry'!F6</f>
        <v>144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0.2782415136338342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144</v>
      </c>
      <c r="P7" s="42">
        <f t="shared" ref="P7:P15" si="4">C7</f>
        <v>2</v>
      </c>
      <c r="Q7" s="42">
        <f>C6-C7</f>
        <v>7186</v>
      </c>
      <c r="R7" s="42">
        <f t="shared" ref="R7:R15" si="5">SUM(N7:Q7)</f>
        <v>7332</v>
      </c>
      <c r="S7" s="30">
        <f t="shared" ref="S7:S15" si="6">R7*((((N7*Q7)-(O7*P7))^2))</f>
        <v>608145408</v>
      </c>
      <c r="T7" s="30">
        <f t="shared" ref="T7:T15" si="7">(N7+O7)*(P7+Q7)*(N7+P7)*(O7+Q7)</f>
        <v>15174155520</v>
      </c>
      <c r="U7" s="31">
        <f t="shared" ref="U7:U15" si="8">IF((S7&gt;0),S7/T7,"- -")</f>
        <v>4.0077710235567693E-2</v>
      </c>
    </row>
    <row r="8" spans="2:21" ht="18" customHeight="1">
      <c r="B8" s="32" t="str">
        <f>'Data Entry'!A8</f>
        <v>3. Refer to Juvenile Court</v>
      </c>
      <c r="C8" s="33">
        <f>'Data Entry'!C8</f>
        <v>60</v>
      </c>
      <c r="D8" s="34">
        <f>IF((AND(C67&gt;0,C8&gt;0)),(C8/C67),0)</f>
        <v>3000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60</v>
      </c>
      <c r="Q8" s="42">
        <f>(C$67*L67)-C8</f>
        <v>-58</v>
      </c>
      <c r="R8" s="42">
        <f t="shared" si="5"/>
        <v>2.0499999999999972</v>
      </c>
      <c r="S8" s="30">
        <f t="shared" si="6"/>
        <v>18.449999999999974</v>
      </c>
      <c r="T8" s="30">
        <f t="shared" si="7"/>
        <v>-347.70000000000005</v>
      </c>
      <c r="U8" s="31">
        <f t="shared" si="8"/>
        <v>-5.3062985332182837E-2</v>
      </c>
    </row>
    <row r="9" spans="2:21" ht="18" customHeight="1">
      <c r="B9" s="32" t="str">
        <f>'Data Entry'!A9</f>
        <v xml:space="preserve">4. Cases Diverted </v>
      </c>
      <c r="C9" s="33">
        <f>'Data Entry'!C9</f>
        <v>3</v>
      </c>
      <c r="D9" s="34">
        <f>IF((AND(C68&gt;0,C9&gt;0)),((C9/C68)),0)</f>
        <v>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57</v>
      </c>
      <c r="R9" s="42">
        <f t="shared" si="5"/>
        <v>60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3.3333333333333335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58</v>
      </c>
      <c r="R10" s="42">
        <f t="shared" si="5"/>
        <v>60</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28.333333333333336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43</v>
      </c>
      <c r="R11" s="42">
        <f t="shared" si="5"/>
        <v>60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58.823529411764703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380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-28</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50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7.1879999999999997</v>
      </c>
      <c r="D42" s="56">
        <f>E6/1000</f>
        <v>0.14399999999999999</v>
      </c>
      <c r="E42" s="56">
        <f>MAX(C42:D42)</f>
        <v>7.1879999999999997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v>
      </c>
      <c r="D44" s="56">
        <f>E8/100</f>
        <v>0</v>
      </c>
      <c r="E44" s="56">
        <f>MAX(C44:D44,0)</f>
        <v>0.6</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7.1879999999999997</v>
      </c>
      <c r="D48" s="56">
        <f>D42</f>
        <v>0.14399999999999999</v>
      </c>
      <c r="E48" s="56">
        <f>MAX(C48:D48)</f>
        <v>7.1879999999999997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7.1879999999999997</v>
      </c>
      <c r="D54" s="56">
        <f>D48</f>
        <v>0.14399999999999999</v>
      </c>
      <c r="E54" s="56">
        <f>MAX(C54:D54)</f>
        <v>7.1879999999999997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7.1879999999999997</v>
      </c>
      <c r="D60" s="56">
        <f>D54</f>
        <v>0.14399999999999999</v>
      </c>
      <c r="E60" s="56">
        <f>MAX(C60:D60)</f>
        <v>7.1879999999999997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7.1879999999999997</v>
      </c>
      <c r="D66" s="56">
        <f>D60</f>
        <v>0.14399999999999999</v>
      </c>
      <c r="E66" s="56">
        <f>MAX(C66:D66)</f>
        <v>7.1879999999999997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7188</v>
      </c>
      <c r="D6" s="34"/>
      <c r="E6" s="33">
        <f>'Data Entry'!E6</f>
        <v>610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0.2782415136338342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610</v>
      </c>
      <c r="P7" s="42">
        <f t="shared" ref="P7:P15" si="4">C7</f>
        <v>2</v>
      </c>
      <c r="Q7" s="42">
        <f>C6-C7</f>
        <v>7186</v>
      </c>
      <c r="R7" s="42">
        <f t="shared" ref="R7:R15" si="5">SUM(N7:Q7)</f>
        <v>7798</v>
      </c>
      <c r="S7" s="30">
        <f t="shared" ref="S7:S15" si="6">R7*((((N7*Q7)-(O7*P7))^2))</f>
        <v>11606543200</v>
      </c>
      <c r="T7" s="30">
        <f t="shared" ref="T7:T15" si="7">(N7+O7)*(P7+Q7)*(N7+P7)*(O7+Q7)</f>
        <v>68365930560</v>
      </c>
      <c r="U7" s="31">
        <f t="shared" ref="U7:U15" si="8">IF((S7&gt;0),S7/T7,"- -")</f>
        <v>0.16977086547244097</v>
      </c>
    </row>
    <row r="8" spans="2:21" ht="18" customHeight="1">
      <c r="B8" s="32" t="str">
        <f>'Data Entry'!A8</f>
        <v>3. Refer to Juvenile Court</v>
      </c>
      <c r="C8" s="33">
        <f>'Data Entry'!C8</f>
        <v>60</v>
      </c>
      <c r="D8" s="34">
        <f>IF((AND(C67&gt;0,C8&gt;0)),(C8/C67),0)</f>
        <v>3000</v>
      </c>
      <c r="E8" s="33">
        <f>'Data Entry'!E8</f>
        <v>4</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-3.95</v>
      </c>
      <c r="P8" s="42">
        <f t="shared" si="4"/>
        <v>60</v>
      </c>
      <c r="Q8" s="42">
        <f>(C$67*L67)-C8</f>
        <v>-58</v>
      </c>
      <c r="R8" s="42">
        <f t="shared" si="5"/>
        <v>2.0499999999999972</v>
      </c>
      <c r="S8" s="30">
        <f t="shared" si="6"/>
        <v>51.249999999999929</v>
      </c>
      <c r="T8" s="30">
        <f t="shared" si="7"/>
        <v>-396.4799999999986</v>
      </c>
      <c r="U8" s="31">
        <f t="shared" si="8"/>
        <v>-0.12926251008878156</v>
      </c>
    </row>
    <row r="9" spans="2:21" ht="18" customHeight="1">
      <c r="B9" s="32" t="str">
        <f>'Data Entry'!A9</f>
        <v xml:space="preserve">4. Cases Diverted </v>
      </c>
      <c r="C9" s="33">
        <f>'Data Entry'!C9</f>
        <v>3</v>
      </c>
      <c r="D9" s="34">
        <f>IF((AND(C68&gt;0,C9&gt;0)),((C9/C68)),0)</f>
        <v>5</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4</v>
      </c>
      <c r="P9" s="42">
        <f t="shared" si="4"/>
        <v>3</v>
      </c>
      <c r="Q9" s="42">
        <f>(C$68*L68)-C9</f>
        <v>57</v>
      </c>
      <c r="R9" s="42">
        <f t="shared" si="5"/>
        <v>64</v>
      </c>
      <c r="S9" s="30">
        <f t="shared" si="6"/>
        <v>9216</v>
      </c>
      <c r="T9" s="30">
        <f t="shared" si="7"/>
        <v>43920</v>
      </c>
      <c r="U9" s="31">
        <f t="shared" si="8"/>
        <v>0.20983606557377049</v>
      </c>
    </row>
    <row r="10" spans="2:21" ht="18" customHeight="1">
      <c r="B10" s="32" t="str">
        <f>'Data Entry'!A10</f>
        <v>5. Cases Involving Secure Detention</v>
      </c>
      <c r="C10" s="33">
        <f>'Data Entry'!C10</f>
        <v>2</v>
      </c>
      <c r="D10" s="34">
        <f>IF(((AND(C68&gt;0,C10&gt;0))),(C10/(C68)),0)</f>
        <v>3.3333333333333335</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4</v>
      </c>
      <c r="P10" s="42">
        <f t="shared" si="4"/>
        <v>2</v>
      </c>
      <c r="Q10" s="42">
        <f>(C$68*L68)-C10</f>
        <v>58</v>
      </c>
      <c r="R10" s="42">
        <f t="shared" si="5"/>
        <v>64</v>
      </c>
      <c r="S10" s="30">
        <f t="shared" si="6"/>
        <v>4096</v>
      </c>
      <c r="T10" s="30">
        <f t="shared" si="7"/>
        <v>29760</v>
      </c>
      <c r="U10" s="31">
        <f t="shared" si="8"/>
        <v>0.13763440860215054</v>
      </c>
    </row>
    <row r="11" spans="2:21" ht="18" customHeight="1">
      <c r="B11" s="32" t="str">
        <f>'Data Entry'!A11</f>
        <v>6. Cases Petitioned (Charge Filed)</v>
      </c>
      <c r="C11" s="33">
        <f>'Data Entry'!C11</f>
        <v>17</v>
      </c>
      <c r="D11" s="34">
        <f>IF(((AND(C68&gt;0,C11&gt;0))),(C11/(C68)),0)</f>
        <v>28.333333333333336</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4</v>
      </c>
      <c r="P11" s="42">
        <f t="shared" si="4"/>
        <v>17</v>
      </c>
      <c r="Q11" s="42">
        <f>(C$68*L68)-C11</f>
        <v>43</v>
      </c>
      <c r="R11" s="42">
        <f t="shared" si="5"/>
        <v>64</v>
      </c>
      <c r="S11" s="30">
        <f t="shared" si="6"/>
        <v>295936</v>
      </c>
      <c r="T11" s="30">
        <f t="shared" si="7"/>
        <v>191760</v>
      </c>
      <c r="U11" s="31">
        <f t="shared" si="8"/>
        <v>1.5432624113475177</v>
      </c>
    </row>
    <row r="12" spans="2:21" ht="18" customHeight="1">
      <c r="B12" s="32" t="str">
        <f>'Data Entry'!A12</f>
        <v>7. Cases Resulting in Delinquent Findings</v>
      </c>
      <c r="C12" s="33">
        <f>'Data Entry'!C12</f>
        <v>10</v>
      </c>
      <c r="D12" s="34">
        <f>IF(((AND(C69&gt;0,C12&gt;0))),(C12/(C69)),0)</f>
        <v>58.823529411764703</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380</v>
      </c>
      <c r="E13" s="33">
        <f>'Data Entry'!E13</f>
        <v>2</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38</v>
      </c>
      <c r="Q13" s="42">
        <f>(C70*L70)-C13</f>
        <v>-28</v>
      </c>
      <c r="R13" s="42">
        <f t="shared" si="5"/>
        <v>10</v>
      </c>
      <c r="S13" s="30">
        <f t="shared" si="6"/>
        <v>4000</v>
      </c>
      <c r="T13" s="30">
        <f t="shared" si="7"/>
        <v>0</v>
      </c>
      <c r="U13" s="31" t="e">
        <f t="shared" si="8"/>
        <v>#DIV/0!</v>
      </c>
    </row>
    <row r="14" spans="2:21" ht="30.75" customHeight="1">
      <c r="B14" s="32" t="str">
        <f>'Data Entry'!A14</f>
        <v xml:space="preserve">9. Cases Resulting in Confinement in Secure Juvenile Correctional Facilities </v>
      </c>
      <c r="C14" s="33">
        <f>'Data Entry'!C14</f>
        <v>5</v>
      </c>
      <c r="D14" s="34">
        <f>IF(((AND(C70&gt;0,C14&gt;0))), ((C14/(C70))),0)</f>
        <v>50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7.1879999999999997</v>
      </c>
      <c r="D42" s="56">
        <f>E6/1000</f>
        <v>0.61</v>
      </c>
      <c r="E42" s="56">
        <f>MAX(C42:D42)</f>
        <v>7.1879999999999997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v>
      </c>
      <c r="D44" s="56">
        <f>E8/100</f>
        <v>0.04</v>
      </c>
      <c r="E44" s="56">
        <f>MAX(C44:D44,0)</f>
        <v>0.6</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7.1879999999999997</v>
      </c>
      <c r="D48" s="56">
        <f>D42</f>
        <v>0.61</v>
      </c>
      <c r="E48" s="56">
        <f>MAX(C48:D48)</f>
        <v>7.1879999999999997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0.04</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7.1879999999999997</v>
      </c>
      <c r="D54" s="56">
        <f>D48</f>
        <v>0.61</v>
      </c>
      <c r="E54" s="56">
        <f>MAX(C54:D54)</f>
        <v>7.1879999999999997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v>
      </c>
      <c r="D56" s="49">
        <f t="shared" si="10"/>
        <v>0.04</v>
      </c>
      <c r="E56" s="49">
        <f>MAX(C56:D56)</f>
        <v>0.6</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7.1879999999999997</v>
      </c>
      <c r="D60" s="56">
        <f>D54</f>
        <v>0.61</v>
      </c>
      <c r="E60" s="56">
        <f>MAX(C60:D60)</f>
        <v>7.1879999999999997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v>
      </c>
      <c r="D62" s="49">
        <f t="shared" si="11"/>
        <v>0.04</v>
      </c>
      <c r="E62" s="49">
        <f>MAX(C62:D62)</f>
        <v>0.6</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7.1879999999999997</v>
      </c>
      <c r="D66" s="56">
        <f>D60</f>
        <v>0.61</v>
      </c>
      <c r="E66" s="56">
        <f>MAX(C66:D66)</f>
        <v>7.1879999999999997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v>
      </c>
      <c r="D68" s="49">
        <f t="shared" si="12"/>
        <v>0.04</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7188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0.2782415136338342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7186</v>
      </c>
      <c r="R7" s="42">
        <f t="shared" ref="R7:R15" si="5">SUM(N7:Q7)</f>
        <v>7188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60</v>
      </c>
      <c r="D8" s="34">
        <f>IF((AND(C67&gt;0,C8&gt;0)),(C8/C67),0)</f>
        <v>3000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60</v>
      </c>
      <c r="Q8" s="42">
        <f>(C$67*L67)-C8</f>
        <v>-58</v>
      </c>
      <c r="R8" s="42">
        <f t="shared" si="5"/>
        <v>2.0499999999999972</v>
      </c>
      <c r="S8" s="30">
        <f t="shared" si="6"/>
        <v>18.449999999999974</v>
      </c>
      <c r="T8" s="30">
        <f t="shared" si="7"/>
        <v>-347.70000000000005</v>
      </c>
      <c r="U8" s="31">
        <f t="shared" si="8"/>
        <v>-5.3062985332182837E-2</v>
      </c>
    </row>
    <row r="9" spans="2:21" ht="18" customHeight="1">
      <c r="B9" s="32" t="str">
        <f>'Data Entry'!A9</f>
        <v xml:space="preserve">4. Cases Diverted </v>
      </c>
      <c r="C9" s="33">
        <f>'Data Entry'!C9</f>
        <v>3</v>
      </c>
      <c r="D9" s="34">
        <f>IF((AND(C68&gt;0,C9&gt;0)),((C9/C68)),0)</f>
        <v>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57</v>
      </c>
      <c r="R9" s="42">
        <f t="shared" si="5"/>
        <v>60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3.3333333333333335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58</v>
      </c>
      <c r="R10" s="42">
        <f t="shared" si="5"/>
        <v>60</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28.333333333333336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43</v>
      </c>
      <c r="R11" s="42">
        <f t="shared" si="5"/>
        <v>60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58.823529411764703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380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-28</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50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7.1879999999999997</v>
      </c>
      <c r="D42" s="56">
        <f>E6/1000</f>
        <v>0</v>
      </c>
      <c r="E42" s="56">
        <f>MAX(C42:D42)</f>
        <v>7.1879999999999997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v>
      </c>
      <c r="D44" s="56">
        <f>E8/100</f>
        <v>0</v>
      </c>
      <c r="E44" s="56">
        <f>MAX(C44:D44,0)</f>
        <v>0.6</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7.1879999999999997</v>
      </c>
      <c r="D48" s="56">
        <f>D42</f>
        <v>0</v>
      </c>
      <c r="E48" s="56">
        <f>MAX(C48:D48)</f>
        <v>7.1879999999999997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7.1879999999999997</v>
      </c>
      <c r="D54" s="56">
        <f>D48</f>
        <v>0</v>
      </c>
      <c r="E54" s="56">
        <f>MAX(C54:D54)</f>
        <v>7.1879999999999997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7.1879999999999997</v>
      </c>
      <c r="D60" s="56">
        <f>D54</f>
        <v>0</v>
      </c>
      <c r="E60" s="56">
        <f>MAX(C60:D60)</f>
        <v>7.1879999999999997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7.1879999999999997</v>
      </c>
      <c r="D66" s="56">
        <f>D60</f>
        <v>0</v>
      </c>
      <c r="E66" s="56">
        <f>MAX(C66:D66)</f>
        <v>7.1879999999999997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Clinton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7188</v>
      </c>
      <c r="D6" s="34"/>
      <c r="E6" s="33">
        <f>'Data Entry'!H6</f>
        <v>38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0.2782415136338342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38</v>
      </c>
      <c r="P7" s="42">
        <f t="shared" ref="P7:P15" si="4">C7</f>
        <v>2</v>
      </c>
      <c r="Q7" s="42">
        <f>C6-C7</f>
        <v>7186</v>
      </c>
      <c r="R7" s="42">
        <f t="shared" ref="R7:R15" si="5">SUM(N7:Q7)</f>
        <v>7226</v>
      </c>
      <c r="S7" s="30">
        <f t="shared" ref="S7:S15" si="6">R7*((((N7*Q7)-(O7*P7))^2))</f>
        <v>41737376</v>
      </c>
      <c r="T7" s="30">
        <f t="shared" ref="T7:T15" si="7">(N7+O7)*(P7+Q7)*(N7+P7)*(O7+Q7)</f>
        <v>3946384512</v>
      </c>
      <c r="U7" s="31">
        <f t="shared" ref="U7:U15" si="8">IF((S7&gt;0),S7/T7,"- -")</f>
        <v>1.0576104754386386E-2</v>
      </c>
    </row>
    <row r="8" spans="2:21" ht="18" customHeight="1">
      <c r="B8" s="32" t="str">
        <f>'Data Entry'!A8</f>
        <v>3. Refer to Juvenile Court</v>
      </c>
      <c r="C8" s="33">
        <f>'Data Entry'!C8</f>
        <v>60</v>
      </c>
      <c r="D8" s="34">
        <f>IF((AND(C67&gt;0,C8&gt;0)),(C8/C67),0)</f>
        <v>3000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60</v>
      </c>
      <c r="Q8" s="42">
        <f>(C$67*L67)-C8</f>
        <v>-58</v>
      </c>
      <c r="R8" s="42">
        <f t="shared" si="5"/>
        <v>2.0499999999999972</v>
      </c>
      <c r="S8" s="30">
        <f t="shared" si="6"/>
        <v>18.449999999999974</v>
      </c>
      <c r="T8" s="30">
        <f t="shared" si="7"/>
        <v>-347.70000000000005</v>
      </c>
      <c r="U8" s="31">
        <f t="shared" si="8"/>
        <v>-5.3062985332182837E-2</v>
      </c>
    </row>
    <row r="9" spans="2:21" ht="18" customHeight="1">
      <c r="B9" s="32" t="str">
        <f>'Data Entry'!A9</f>
        <v xml:space="preserve">4. Cases Diverted </v>
      </c>
      <c r="C9" s="33">
        <f>'Data Entry'!C9</f>
        <v>3</v>
      </c>
      <c r="D9" s="34">
        <f>IF((AND(C68&gt;0,C9&gt;0)),((C9/C68)),0)</f>
        <v>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57</v>
      </c>
      <c r="R9" s="42">
        <f t="shared" si="5"/>
        <v>60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3.3333333333333335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58</v>
      </c>
      <c r="R10" s="42">
        <f t="shared" si="5"/>
        <v>60</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28.333333333333336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43</v>
      </c>
      <c r="R11" s="42">
        <f t="shared" si="5"/>
        <v>60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58.823529411764703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38</v>
      </c>
      <c r="D13" s="34">
        <f>IF(((AND(C70&gt;0,C13&gt;0))),(C13/(C70)),0)</f>
        <v>380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38</v>
      </c>
      <c r="Q13" s="42">
        <f>(C70*L70)-C13</f>
        <v>-28</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50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5</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7.1879999999999997</v>
      </c>
      <c r="D42" s="56">
        <f>E6/1000</f>
        <v>3.7999999999999999E-2</v>
      </c>
      <c r="E42" s="56">
        <f>MAX(C42:D42)</f>
        <v>7.1879999999999997</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v>
      </c>
      <c r="D44" s="56">
        <f>E8/100</f>
        <v>0</v>
      </c>
      <c r="E44" s="56">
        <f>MAX(C44:D44,0)</f>
        <v>0.6</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7.1879999999999997</v>
      </c>
      <c r="D48" s="56">
        <f>D42</f>
        <v>3.7999999999999999E-2</v>
      </c>
      <c r="E48" s="56">
        <f>MAX(C48:D48)</f>
        <v>7.1879999999999997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v>
      </c>
      <c r="D50" s="49">
        <f t="shared" si="9"/>
        <v>0</v>
      </c>
      <c r="E50" s="49">
        <f>MAX(C50:D50)</f>
        <v>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7.1879999999999997</v>
      </c>
      <c r="D54" s="56">
        <f>D48</f>
        <v>3.7999999999999999E-2</v>
      </c>
      <c r="E54" s="56">
        <f>MAX(C54:D54)</f>
        <v>7.1879999999999997</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v>
      </c>
      <c r="D56" s="49">
        <f t="shared" si="10"/>
        <v>0</v>
      </c>
      <c r="E56" s="49">
        <f>MAX(C56:D56)</f>
        <v>0.6</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7.1879999999999997</v>
      </c>
      <c r="D60" s="56">
        <f>D54</f>
        <v>3.7999999999999999E-2</v>
      </c>
      <c r="E60" s="56">
        <f>MAX(C60:D60)</f>
        <v>7.1879999999999997</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v>
      </c>
      <c r="D62" s="49">
        <f t="shared" si="11"/>
        <v>0</v>
      </c>
      <c r="E62" s="49">
        <f>MAX(C62:D62)</f>
        <v>0.6</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7.1879999999999997</v>
      </c>
      <c r="D66" s="56">
        <f>D60</f>
        <v>3.7999999999999999E-2</v>
      </c>
      <c r="E66" s="56">
        <f>MAX(C66:D66)</f>
        <v>7.1879999999999997</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v>
      </c>
      <c r="D68" s="49">
        <f t="shared" si="12"/>
        <v>0</v>
      </c>
      <c r="E68" s="49">
        <f>MAX(C68:D68)</f>
        <v>0.6</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U47JMPN4QEAR-1806752177-30447</_dlc_DocId>
    <_dlc_DocIdUrl xmlns="ac3811b5-0f3e-49e2-ba69-f2ffa0c782af">
      <Url>https://michiganphi.sharepoint.com/sites/CMDMC/_layouts/15/DocIdRedir.aspx?ID=U47JMPN4QEAR-1806752177-30447</Url>
      <Description>U47JMPN4QEAR-1806752177-30447</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D500DB-69A4-4C9A-B302-723C8E6045C8}"/>
</file>

<file path=customXml/itemProps2.xml><?xml version="1.0" encoding="utf-8"?>
<ds:datastoreItem xmlns:ds="http://schemas.openxmlformats.org/officeDocument/2006/customXml" ds:itemID="{FBC8AE57-3B4A-4014-9C84-F6247B6E87C6}">
  <ds:schemaRefs>
    <ds:schemaRef ds:uri="http://schemas.microsoft.com/sharepoint/v3/contenttype/forms"/>
  </ds:schemaRefs>
</ds:datastoreItem>
</file>

<file path=customXml/itemProps3.xml><?xml version="1.0" encoding="utf-8"?>
<ds:datastoreItem xmlns:ds="http://schemas.openxmlformats.org/officeDocument/2006/customXml" ds:itemID="{15636331-B637-4F2C-9E4C-4845A737E16E}">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B7223F29-2C55-4964-BAAE-E65BFDA536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8aa5826a-19a3-45a5-8c68-c3b58f35e76f</vt:lpwstr>
  </property>
</Properties>
</file>