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FC911F71-E1F9-40B2-B14E-D7A11239D7B3}"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s="1"/>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L54" i="5" s="1"/>
  <c r="L60" i="5" s="1"/>
  <c r="L66" i="5" s="1"/>
  <c r="G51" i="5"/>
  <c r="G57" i="5" s="1"/>
  <c r="G63" i="5" s="1"/>
  <c r="G69"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4"/>
  <c r="M66" i="4"/>
  <c r="F27" i="5"/>
  <c r="M66" i="5"/>
  <c r="F27" i="2"/>
  <c r="M66" i="2"/>
  <c r="F27" i="8"/>
  <c r="M66"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4" i="6"/>
  <c r="C50" i="6" s="1"/>
  <c r="E46" i="3"/>
  <c r="E46" i="7"/>
  <c r="D52" i="7" s="1"/>
  <c r="E43" i="7"/>
  <c r="L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6" l="1"/>
  <c r="E50" i="6" s="1"/>
  <c r="L50" i="6"/>
  <c r="D50" i="5"/>
  <c r="C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1" i="2" l="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L56" i="8"/>
  <c r="B56" i="8"/>
  <c r="D64" i="5"/>
  <c r="C64" i="5"/>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D64" i="8"/>
  <c r="E64" i="5"/>
  <c r="E57" i="8"/>
  <c r="B63" i="8" s="1"/>
  <c r="L64" i="8"/>
  <c r="B64" i="8"/>
  <c r="C64" i="8"/>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F8" i="5"/>
  <c r="E63" i="3" l="1"/>
  <c r="C69" i="3" s="1"/>
  <c r="D15" i="3" s="1"/>
  <c r="B70" i="5"/>
  <c r="F33" i="5" s="1"/>
  <c r="L70" i="5"/>
  <c r="O13" i="5" s="1"/>
  <c r="D63" i="8"/>
  <c r="E64" i="8"/>
  <c r="L70" i="8" s="1"/>
  <c r="C63" i="8"/>
  <c r="E63" i="8" s="1"/>
  <c r="D69" i="8" s="1"/>
  <c r="L63" i="8"/>
  <c r="L70" i="3"/>
  <c r="Q14" i="3" s="1"/>
  <c r="D70" i="6"/>
  <c r="F14" i="6" s="1"/>
  <c r="C69" i="7"/>
  <c r="D12" i="7" s="1"/>
  <c r="B70" i="3"/>
  <c r="M70" i="3" s="1"/>
  <c r="L70" i="6"/>
  <c r="L69" i="7"/>
  <c r="C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E70" i="5"/>
  <c r="Q13" i="5"/>
  <c r="D13" i="5"/>
  <c r="D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L69" i="3" l="1"/>
  <c r="Q12" i="3" s="1"/>
  <c r="B69" i="3"/>
  <c r="M69" i="3" s="1"/>
  <c r="O14" i="6"/>
  <c r="D12" i="3"/>
  <c r="Q14" i="5"/>
  <c r="O14" i="5"/>
  <c r="T14" i="5" s="1"/>
  <c r="M70" i="5"/>
  <c r="F34" i="5"/>
  <c r="B70" i="8"/>
  <c r="M70" i="8" s="1"/>
  <c r="O13" i="6"/>
  <c r="C70" i="8"/>
  <c r="Q13" i="8" s="1"/>
  <c r="D70" i="8"/>
  <c r="F13" i="8" s="1"/>
  <c r="F14" i="3"/>
  <c r="Q12" i="7"/>
  <c r="F34" i="3"/>
  <c r="F13" i="6"/>
  <c r="Q13" i="3"/>
  <c r="O13" i="3"/>
  <c r="E70" i="6"/>
  <c r="E69" i="7"/>
  <c r="E70" i="3"/>
  <c r="F33" i="3"/>
  <c r="D15" i="7"/>
  <c r="F12" i="7"/>
  <c r="O15" i="7"/>
  <c r="D13" i="6"/>
  <c r="O12" i="7"/>
  <c r="Q15" i="7"/>
  <c r="D14" i="6"/>
  <c r="Q13" i="6"/>
  <c r="R13" i="6" s="1"/>
  <c r="S13" i="6" s="1"/>
  <c r="U13" i="6" s="1"/>
  <c r="J13" i="6" s="1"/>
  <c r="M13" i="6" s="1"/>
  <c r="G13" i="6" s="1"/>
  <c r="Q14" i="6"/>
  <c r="C69" i="6"/>
  <c r="D12" i="6" s="1"/>
  <c r="B69" i="6"/>
  <c r="M69" i="6" s="1"/>
  <c r="O14" i="3"/>
  <c r="R14" i="3" s="1"/>
  <c r="S14" i="3" s="1"/>
  <c r="U14" i="3" s="1"/>
  <c r="J14" i="3" s="1"/>
  <c r="M14" i="3" s="1"/>
  <c r="G14" i="3" s="1"/>
  <c r="I15" i="16" s="1"/>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D15" i="6"/>
  <c r="R10" i="3"/>
  <c r="S10" i="3" s="1"/>
  <c r="F8" i="2"/>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T9" i="3"/>
  <c r="C70" i="2"/>
  <c r="D14" i="2" s="1"/>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5" l="1"/>
  <c r="R14" i="5"/>
  <c r="S14" i="5" s="1"/>
  <c r="U14" i="5" s="1"/>
  <c r="J14" i="5" s="1"/>
  <c r="M14" i="5" s="1"/>
  <c r="D14" i="8"/>
  <c r="Q14" i="8"/>
  <c r="F33" i="8"/>
  <c r="F35" i="3"/>
  <c r="T14" i="6"/>
  <c r="Q15" i="3"/>
  <c r="F34" i="8"/>
  <c r="O15" i="3"/>
  <c r="D13" i="8"/>
  <c r="O14" i="8"/>
  <c r="T14" i="8" s="1"/>
  <c r="O13" i="8"/>
  <c r="R13" i="8" s="1"/>
  <c r="S13" i="8" s="1"/>
  <c r="E70" i="8"/>
  <c r="F14" i="8"/>
  <c r="T12" i="7"/>
  <c r="T15" i="7"/>
  <c r="K14" i="6"/>
  <c r="R14" i="6"/>
  <c r="S14" i="6" s="1"/>
  <c r="U14" i="6" s="1"/>
  <c r="J14" i="6" s="1"/>
  <c r="M14" i="6" s="1"/>
  <c r="G14" i="6" s="1"/>
  <c r="M15" i="13" s="1"/>
  <c r="U9" i="4"/>
  <c r="J9" i="4" s="1"/>
  <c r="M9" i="4" s="1"/>
  <c r="G9" i="4" s="1"/>
  <c r="G10" i="16" s="1"/>
  <c r="R15" i="7"/>
  <c r="S15" i="7" s="1"/>
  <c r="U15" i="7" s="1"/>
  <c r="J15" i="7" s="1"/>
  <c r="M15" i="7" s="1"/>
  <c r="U10" i="3"/>
  <c r="J10" i="3" s="1"/>
  <c r="M10" i="3" s="1"/>
  <c r="G10" i="3" s="1"/>
  <c r="I11" i="16" s="1"/>
  <c r="U10" i="4"/>
  <c r="J10" i="4" s="1"/>
  <c r="M10" i="4" s="1"/>
  <c r="G10" i="4" s="1"/>
  <c r="K15" i="7"/>
  <c r="R13" i="3"/>
  <c r="S13" i="3" s="1"/>
  <c r="U13" i="3" s="1"/>
  <c r="J13" i="3" s="1"/>
  <c r="M13" i="3" s="1"/>
  <c r="G13" i="3" s="1"/>
  <c r="T13" i="6"/>
  <c r="U13" i="4"/>
  <c r="J13" i="4" s="1"/>
  <c r="M13" i="4" s="1"/>
  <c r="G13" i="4" s="1"/>
  <c r="G14" i="16" s="1"/>
  <c r="T13" i="3"/>
  <c r="K13" i="3"/>
  <c r="T14" i="3"/>
  <c r="F32" i="6"/>
  <c r="K14" i="3"/>
  <c r="L14" i="3" s="1"/>
  <c r="P15" i="16" s="1"/>
  <c r="Q12" i="6"/>
  <c r="Q15" i="6"/>
  <c r="K12" i="7"/>
  <c r="R12" i="7"/>
  <c r="S12" i="7" s="1"/>
  <c r="U12" i="7" s="1"/>
  <c r="J12" i="7" s="1"/>
  <c r="M12" i="7" s="1"/>
  <c r="K13" i="6"/>
  <c r="L13" i="6" s="1"/>
  <c r="R14" i="16" s="1"/>
  <c r="O12" i="6"/>
  <c r="F35" i="6"/>
  <c r="E69" i="6"/>
  <c r="O15" i="6"/>
  <c r="F15" i="6"/>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D13" i="2"/>
  <c r="E70" i="2"/>
  <c r="Q14" i="2"/>
  <c r="K14" i="2" s="1"/>
  <c r="R13" i="7"/>
  <c r="S13" i="7" s="1"/>
  <c r="U13" i="7" s="1"/>
  <c r="J13" i="7" s="1"/>
  <c r="M13" i="7" s="1"/>
  <c r="Q13" i="2"/>
  <c r="U9" i="3"/>
  <c r="J9" i="3" s="1"/>
  <c r="L9" i="3" s="1"/>
  <c r="K15" i="3"/>
  <c r="T15" i="3"/>
  <c r="N30" i="5"/>
  <c r="L14" i="5"/>
  <c r="Q15" i="16" s="1"/>
  <c r="L13" i="5"/>
  <c r="Q14" i="16" s="1"/>
  <c r="K13" i="7"/>
  <c r="T8" i="2"/>
  <c r="U8" i="2" s="1"/>
  <c r="J8" i="2" s="1"/>
  <c r="M11" i="4"/>
  <c r="G11" i="4" s="1"/>
  <c r="T14" i="7"/>
  <c r="U14" i="7" s="1"/>
  <c r="J14" i="7" s="1"/>
  <c r="K14" i="7"/>
  <c r="N30" i="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4" i="8" l="1"/>
  <c r="R14" i="8"/>
  <c r="S14" i="8" s="1"/>
  <c r="U14" i="8" s="1"/>
  <c r="J14" i="8" s="1"/>
  <c r="N30" i="8" s="1"/>
  <c r="K13" i="8"/>
  <c r="D9" i="9"/>
  <c r="T13" i="8"/>
  <c r="U13" i="8" s="1"/>
  <c r="J13" i="8" s="1"/>
  <c r="M13" i="8" s="1"/>
  <c r="G13" i="8" s="1"/>
  <c r="I13" i="9" s="1"/>
  <c r="I11" i="13"/>
  <c r="G10" i="13"/>
  <c r="L10" i="4"/>
  <c r="O11" i="16" s="1"/>
  <c r="L9" i="4"/>
  <c r="O10" i="16" s="1"/>
  <c r="L15" i="7"/>
  <c r="S16" i="16" s="1"/>
  <c r="L10" i="3"/>
  <c r="P11" i="16" s="1"/>
  <c r="E10" i="9"/>
  <c r="G11" i="16"/>
  <c r="G11" i="13"/>
  <c r="L13" i="4"/>
  <c r="O14" i="16" s="1"/>
  <c r="L13" i="3"/>
  <c r="P14" i="16" s="1"/>
  <c r="T15" i="6"/>
  <c r="K12" i="6"/>
  <c r="R12" i="6"/>
  <c r="S12" i="6" s="1"/>
  <c r="U12" i="6" s="1"/>
  <c r="J12" i="6" s="1"/>
  <c r="M12" i="6" s="1"/>
  <c r="G12" i="6" s="1"/>
  <c r="K15" i="6"/>
  <c r="T12" i="6"/>
  <c r="R15" i="6"/>
  <c r="S15" i="6" s="1"/>
  <c r="U15" i="6" s="1"/>
  <c r="J15" i="6" s="1"/>
  <c r="M15" i="6" s="1"/>
  <c r="G15" i="6" s="1"/>
  <c r="L12" i="7"/>
  <c r="S13" i="16" s="1"/>
  <c r="D10" i="9"/>
  <c r="U12" i="13"/>
  <c r="M11" i="9"/>
  <c r="R12" i="8"/>
  <c r="S12" i="8" s="1"/>
  <c r="T13" i="2"/>
  <c r="U8" i="6"/>
  <c r="J8" i="6" s="1"/>
  <c r="M8" i="6" s="1"/>
  <c r="G8" i="6" s="1"/>
  <c r="M9" i="13" s="1"/>
  <c r="R13" i="2"/>
  <c r="S13" i="2" s="1"/>
  <c r="T15" i="8"/>
  <c r="G14" i="9"/>
  <c r="T12" i="8"/>
  <c r="K12" i="8"/>
  <c r="R10" i="7"/>
  <c r="S10" i="7" s="1"/>
  <c r="T11" i="7"/>
  <c r="T10" i="7"/>
  <c r="L8" i="2"/>
  <c r="N9" i="16" s="1"/>
  <c r="K13" i="2"/>
  <c r="R15" i="5"/>
  <c r="S15" i="5" s="1"/>
  <c r="U15" i="5" s="1"/>
  <c r="J15" i="5" s="1"/>
  <c r="M15" i="5" s="1"/>
  <c r="K11" i="7"/>
  <c r="K15" i="8"/>
  <c r="T9" i="7"/>
  <c r="N30" i="6"/>
  <c r="R11" i="7"/>
  <c r="S11" i="7" s="1"/>
  <c r="L14" i="6"/>
  <c r="R15" i="16" s="1"/>
  <c r="K12" i="5"/>
  <c r="L12" i="5" s="1"/>
  <c r="Q13" i="16" s="1"/>
  <c r="T12" i="5"/>
  <c r="K10" i="7"/>
  <c r="R14" i="2"/>
  <c r="S14" i="2" s="1"/>
  <c r="D13" i="9"/>
  <c r="G14" i="13"/>
  <c r="P13" i="9"/>
  <c r="K9" i="7"/>
  <c r="T14" i="2"/>
  <c r="V12" i="13"/>
  <c r="U10" i="13"/>
  <c r="X14"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O14" i="9"/>
  <c r="V10" i="13"/>
  <c r="V15"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M10" i="9" l="1"/>
  <c r="U14" i="2"/>
  <c r="J14" i="2" s="1"/>
  <c r="M14" i="2" s="1"/>
  <c r="G14" i="2" s="1"/>
  <c r="E15" i="16" s="1"/>
  <c r="U11" i="13"/>
  <c r="N10" i="9"/>
  <c r="V11" i="13"/>
  <c r="L13" i="8"/>
  <c r="T14" i="16" s="1"/>
  <c r="Y16" i="13"/>
  <c r="Q15" i="9"/>
  <c r="V14" i="13"/>
  <c r="N13" i="9"/>
  <c r="U12" i="8"/>
  <c r="J12" i="8" s="1"/>
  <c r="L12" i="8" s="1"/>
  <c r="T13" i="16" s="1"/>
  <c r="U10" i="7"/>
  <c r="J10" i="7" s="1"/>
  <c r="L10" i="7" s="1"/>
  <c r="S11" i="16" s="1"/>
  <c r="U11" i="7"/>
  <c r="J11" i="7" s="1"/>
  <c r="L11" i="7" s="1"/>
  <c r="S12" i="16" s="1"/>
  <c r="Q12" i="9"/>
  <c r="M13" i="9"/>
  <c r="U14" i="13"/>
  <c r="L12" i="6"/>
  <c r="R13" i="16" s="1"/>
  <c r="K14" i="16"/>
  <c r="Q14" i="13"/>
  <c r="U13" i="2"/>
  <c r="J13" i="2" s="1"/>
  <c r="M13" i="2" s="1"/>
  <c r="G13" i="2" s="1"/>
  <c r="E14" i="16" s="1"/>
  <c r="L15" i="6"/>
  <c r="R16" i="16" s="1"/>
  <c r="Y13" i="13"/>
  <c r="M14" i="8"/>
  <c r="G14" i="8" s="1"/>
  <c r="K15" i="16" s="1"/>
  <c r="L14" i="8"/>
  <c r="T15"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C14" i="9" l="1"/>
  <c r="L14" i="2"/>
  <c r="N15" i="16" s="1"/>
  <c r="N30" i="2"/>
  <c r="E15" i="13"/>
  <c r="R13" i="9"/>
  <c r="M11" i="7"/>
  <c r="Z14" i="13"/>
  <c r="M10" i="7"/>
  <c r="M12" i="8"/>
  <c r="G12" i="8" s="1"/>
  <c r="K13" i="16" s="1"/>
  <c r="X13" i="13"/>
  <c r="P12" i="9"/>
  <c r="C13" i="9"/>
  <c r="X16" i="13"/>
  <c r="Z15" i="13"/>
  <c r="E14" i="13"/>
  <c r="L13" i="2"/>
  <c r="N14" i="16" s="1"/>
  <c r="P15" i="9"/>
  <c r="R14" i="9"/>
  <c r="I14" i="9"/>
  <c r="Q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<sst xmlns="http://schemas.openxmlformats.org/spreadsheetml/2006/main" count="654" uniqueCount="141">
  <si>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</si>
  <si>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</si>
  <si>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</si>
  <si>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</si>
  <si>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</si>
  <si>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</si>
  <si>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</si>
  <si>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</si>
  <si>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</si>
  <si>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</si>
  <si>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</si>
  <si>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</si>
  <si>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</si>
  <si>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</si>
  <si>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</si>
  <si>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</si>
  <si>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</si>
  <si>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</si>
  <si>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</si>
  <si>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</si>
  <si>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</si>
  <si>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</si>
  <si>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</si>
  <si>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</si>
  <si>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</si>
  <si>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</si>
  <si>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</si>
  <si>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</si>
  <si>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</si>
  <si>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</si>
  <si>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</si>
  <si>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</si>
  <si>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</si>
  <si>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</si>
  <si>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</si>
  <si>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</si>
  <si>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</si>
  <si>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</si>
  <si>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</si>
  <si>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</si>
  <si>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</si>
  <si>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</si>
  <si>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</si>
  <si>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</si>
  <si>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</si>
  <si>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</si>
  <si>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</si>
  <si>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</si>
  <si>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</si>
  <si>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</si>
  <si>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</si>
  <si>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</si>
  <si>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</si>
  <si>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</si>
  <si>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</si>
  <si>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</si>
  <si>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</si>
  <si>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</si>
  <si>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</si>
  <si>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</si>
  <si>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</si>
  <si>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</si>
  <si>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</si>
  <si>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</si>
  <si>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</si>
  <si>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</si>
  <si>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</si>
  <si>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</si>
  <si>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</si>
  <si>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</si>
  <si>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</si>
  <si>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</si>
  <si>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</si>
  <si>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</si>
  <si>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</si>
  <si>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</si>
  <si>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</si>
  <si>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</si>
  <si>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</si>
  <si>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</si>
  <si>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</si>
  <si>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</si>
  <si>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</si>
  <si>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</si>
  <si>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</si>
  <si>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</si>
  <si>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</si>
  <si>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</si>
  <si>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</si>
  <si>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</si>
  <si>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</si>
  <si>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</si>
  <si>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</si>
  <si>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</si>
  <si>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</si>
  <si>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</si>
  <si>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</si>
  <si>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</si>
  <si>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</si>
  <si>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</si>
  <si>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</si>
  <si>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</si>
  <si>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</si>
  <si>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</si>
  <si>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</si>
  <si>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</si>
  <si>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</si>
  <si>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</si>
  <si>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</si>
  <si>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</si>
  <si>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</si>
  <si>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</si>
  <si>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</si>
  <si>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</si>
  <si>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</si>
  <si>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</si>
  <si>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</si>
  <si>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</si>
  <si>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</si>
  <si>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</si>
  <si>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</si>
  <si>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</si>
  <si>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</si>
  <si>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</si>
  <si>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</si>
  <si>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</si>
  <si>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</si>
  <si>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</si>
  <si>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</si>
  <si>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</si>
  <si>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</si>
  <si>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</si>
  <si>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</si>
  <si>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</si>
  <si>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</si>
  <si>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</si>
  <si>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</si>
  <si>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Clinton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</si>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</sst>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Clinton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N=15</c:v>
                </c:pt>
                <c:pt idx="3">
                  <c:v>Petitions, total N=23</c:v>
                </c:pt>
                <c:pt idx="4">
                  <c:v>Detentions, total N=5</c:v>
                </c:pt>
                <c:pt idx="5">
                  <c:v>Referrals, total N=64</c:v>
                </c:pt>
                <c:pt idx="6">
                  <c:v>Arrests, total N=1</c:v>
                </c:pt>
                <c:pt idx="7">
                  <c:v>Population, total N=7215</c:v>
                </c:pt>
              </c:strCache>
            </c:strRef>
          </c:cat>
          <c:val>
            <c:numRef>
              <c:f>'Stacked 100%'!$B$7:$B$14</c:f>
              <c:numCache>
                <c:formatCode>0%</c:formatCode>
                <c:ptCount val="8"/>
                <c:pt idx="0">
                  <c:v>0</c:v>
                </c:pt>
                <c:pt idx="1">
                  <c:v>0</c:v>
                </c:pt>
                <c:pt idx="2">
                  <c:v>0</c:v>
                </c:pt>
                <c:pt idx="3">
                  <c:v>4.3478260869565216E-2</c:v>
                </c:pt>
                <c:pt idx="4">
                  <c:v>0</c:v>
                </c:pt>
                <c:pt idx="5">
                  <c:v>4.6875E-2</c:v>
                </c:pt>
                <c:pt idx="6">
                  <c:v>0</c:v>
                </c:pt>
                <c:pt idx="7">
                  <c:v>3.5897435897435895E-2</c:v>
                </c:pt>
              </c:numCache>
            </c:numRef>
          </c:val>
          <c:extLst>
            <c:ext xmlns:c16="http://schemas.microsoft.com/office/drawing/2014/chart" uri="{C3380CC4-5D6E-409C-BE32-E72D297353CC}">
              <c16:uniqueId val="{00000000-9DAD-4900-8F99-F2BB911C160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N=15</c:v>
                </c:pt>
                <c:pt idx="3">
                  <c:v>Petitions, total N=23</c:v>
                </c:pt>
                <c:pt idx="4">
                  <c:v>Detentions, total N=5</c:v>
                </c:pt>
                <c:pt idx="5">
                  <c:v>Referrals, total N=64</c:v>
                </c:pt>
                <c:pt idx="6">
                  <c:v>Arrests, total N=1</c:v>
                </c:pt>
                <c:pt idx="7">
                  <c:v>Population, total N=7215</c:v>
                </c:pt>
              </c:strCache>
            </c:strRef>
          </c:cat>
          <c:val>
            <c:numRef>
              <c:f>'Stacked 100%'!$C$7:$C$14</c:f>
              <c:numCache>
                <c:formatCode>0%</c:formatCode>
                <c:ptCount val="8"/>
                <c:pt idx="0">
                  <c:v>0</c:v>
                </c:pt>
                <c:pt idx="1">
                  <c:v>0</c:v>
                </c:pt>
                <c:pt idx="2">
                  <c:v>0</c:v>
                </c:pt>
                <c:pt idx="3">
                  <c:v>0</c:v>
                </c:pt>
                <c:pt idx="4">
                  <c:v>0</c:v>
                </c:pt>
                <c:pt idx="5">
                  <c:v>0</c:v>
                </c:pt>
                <c:pt idx="6">
                  <c:v>0</c:v>
                </c:pt>
                <c:pt idx="7">
                  <c:v>7.2210672210672205E-2</c:v>
                </c:pt>
              </c:numCache>
            </c:numRef>
          </c:val>
          <c:extLst>
            <c:ext xmlns:c16="http://schemas.microsoft.com/office/drawing/2014/chart" uri="{C3380CC4-5D6E-409C-BE32-E72D297353CC}">
              <c16:uniqueId val="{00000001-9DAD-4900-8F99-F2BB911C160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N=6</c:v>
                </c:pt>
                <c:pt idx="2">
                  <c:v>Delinquent Findings, total N=15</c:v>
                </c:pt>
                <c:pt idx="3">
                  <c:v>Petitions, total N=23</c:v>
                </c:pt>
                <c:pt idx="4">
                  <c:v>Detentions, total N=5</c:v>
                </c:pt>
                <c:pt idx="5">
                  <c:v>Referrals, total N=64</c:v>
                </c:pt>
                <c:pt idx="6">
                  <c:v>Arrests, total N=1</c:v>
                </c:pt>
                <c:pt idx="7">
                  <c:v>Population, total N=7215</c:v>
                </c:pt>
              </c:strCache>
            </c:strRef>
          </c:cat>
          <c:val>
            <c:numRef>
              <c:f>'Stacked 100%'!$H$7:$H$14</c:f>
              <c:numCache>
                <c:formatCode>0%</c:formatCode>
                <c:ptCount val="8"/>
                <c:pt idx="0">
                  <c:v>0</c:v>
                </c:pt>
                <c:pt idx="1">
                  <c:v>0</c:v>
                </c:pt>
                <c:pt idx="2">
                  <c:v>0</c:v>
                </c:pt>
                <c:pt idx="3">
                  <c:v>0</c:v>
                </c:pt>
                <c:pt idx="4">
                  <c:v>0</c:v>
                </c:pt>
                <c:pt idx="5">
                  <c:v>0</c:v>
                </c:pt>
                <c:pt idx="6">
                  <c:v>0</c:v>
                </c:pt>
                <c:pt idx="7">
                  <c:v>2.9007097614166222E-6</c:v>
                </c:pt>
              </c:numCache>
            </c:numRef>
          </c:val>
          <c:extLst>
            <c:ext xmlns:c16="http://schemas.microsoft.com/office/drawing/2014/chart" uri="{C3380CC4-5D6E-409C-BE32-E72D297353CC}">
              <c16:uniqueId val="{00000002-9DAD-4900-8F99-F2BB911C160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c:v>
                </c:pt>
                <c:pt idx="2">
                  <c:v>Delinquent Findings, total N=15</c:v>
                </c:pt>
                <c:pt idx="3">
                  <c:v>Petitions, total N=23</c:v>
                </c:pt>
                <c:pt idx="4">
                  <c:v>Detentions, total N=5</c:v>
                </c:pt>
                <c:pt idx="5">
                  <c:v>Referrals, total N=64</c:v>
                </c:pt>
                <c:pt idx="6">
                  <c:v>Arrests, total N=1</c:v>
                </c:pt>
                <c:pt idx="7">
                  <c:v>Population, total N=7215</c:v>
                </c:pt>
              </c:strCache>
            </c:strRef>
          </c:cat>
          <c:val>
            <c:numRef>
              <c:f>'Stacked 100%'!$I$7:$I$14</c:f>
              <c:numCache>
                <c:formatCode>0%</c:formatCode>
                <c:ptCount val="8"/>
                <c:pt idx="0">
                  <c:v>0</c:v>
                </c:pt>
                <c:pt idx="1">
                  <c:v>1</c:v>
                </c:pt>
                <c:pt idx="2">
                  <c:v>1</c:v>
                </c:pt>
                <c:pt idx="3">
                  <c:v>0.95652173913043481</c:v>
                </c:pt>
                <c:pt idx="4">
                  <c:v>1</c:v>
                </c:pt>
                <c:pt idx="5">
                  <c:v>0.859375</c:v>
                </c:pt>
                <c:pt idx="6">
                  <c:v>1</c:v>
                </c:pt>
                <c:pt idx="7">
                  <c:v>0.87096327096327097</c:v>
                </c:pt>
              </c:numCache>
            </c:numRef>
          </c:val>
          <c:extLst>
            <c:ext xmlns:c16="http://schemas.microsoft.com/office/drawing/2014/chart" uri="{C3380CC4-5D6E-409C-BE32-E72D297353CC}">
              <c16:uniqueId val="{00000003-9DAD-4900-8F99-F2BB911C160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N=6</c:v>
                </c:pt>
                <c:pt idx="2">
                  <c:v>Delinquent Findings, total N=15</c:v>
                </c:pt>
                <c:pt idx="3">
                  <c:v>Petitions, total N=23</c:v>
                </c:pt>
                <c:pt idx="4">
                  <c:v>Detentions, total N=5</c:v>
                </c:pt>
                <c:pt idx="5">
                  <c:v>Referrals, total N=64</c:v>
                </c:pt>
                <c:pt idx="6">
                  <c:v>Arrests, total N=1</c:v>
                </c:pt>
                <c:pt idx="7">
                  <c:v>Population, total N=7215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DAD-4900-8F99-F2BB911C160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7215</v>
      </c>
      <c r="C6" s="11">
        <v>6284</v>
      </c>
      <c r="D6" s="11">
        <v>259</v>
      </c>
      <c r="E6" s="11">
        <v>521</v>
      </c>
      <c r="F6" s="11">
        <v>123</v>
      </c>
      <c r="G6" s="11"/>
      <c r="H6" s="11">
        <v>28</v>
      </c>
      <c r="I6" s="11"/>
      <c r="J6" s="91">
        <f>SUM(D6:I6)</f>
        <v>931</v>
      </c>
      <c r="K6" s="92"/>
    </row>
    <row r="7" spans="1:11" ht="15.75" customHeight="1" thickBot="1" x14ac:dyDescent="0.25">
      <c r="A7" s="10" t="s">
        <v>8</v>
      </c>
      <c r="B7" s="11">
        <f t="shared" ref="B7:B15" si="0">SUM(C7:I7)+K7</f>
        <v>1</v>
      </c>
      <c r="C7" s="11">
        <v>1</v>
      </c>
      <c r="D7" s="11"/>
      <c r="E7" s="11"/>
      <c r="F7" s="11"/>
      <c r="G7" s="11"/>
      <c r="H7" s="11"/>
      <c r="I7" s="11"/>
      <c r="J7" s="91">
        <f t="shared" ref="J7:J15" si="1">SUM(D7:I7)</f>
        <v>0</v>
      </c>
      <c r="K7" s="92"/>
    </row>
    <row r="8" spans="1:11" ht="15.75" customHeight="1" thickBot="1" x14ac:dyDescent="0.25">
      <c r="A8" s="10" t="s">
        <v>9</v>
      </c>
      <c r="B8" s="11">
        <f t="shared" si="0"/>
        <v>64</v>
      </c>
      <c r="C8" s="11">
        <v>55</v>
      </c>
      <c r="D8" s="11">
        <v>3</v>
      </c>
      <c r="E8" s="11"/>
      <c r="F8" s="11"/>
      <c r="G8" s="11"/>
      <c r="H8" s="11"/>
      <c r="I8" s="11"/>
      <c r="J8" s="91">
        <f t="shared" si="1"/>
        <v>3</v>
      </c>
      <c r="K8" s="92">
        <v>6</v>
      </c>
    </row>
    <row r="9" spans="1:11" ht="15.75" customHeight="1" thickBot="1" x14ac:dyDescent="0.25">
      <c r="A9" s="10" t="s">
        <v>10</v>
      </c>
      <c r="B9" s="11">
        <f t="shared" si="0"/>
        <v>4</v>
      </c>
      <c r="C9" s="11">
        <v>4</v>
      </c>
      <c r="D9" s="11"/>
      <c r="E9" s="11"/>
      <c r="F9" s="11"/>
      <c r="G9" s="11"/>
      <c r="H9" s="11"/>
      <c r="I9" s="11"/>
      <c r="J9" s="91">
        <f t="shared" si="1"/>
        <v>0</v>
      </c>
      <c r="K9" s="92"/>
    </row>
    <row r="10" spans="1:11" ht="15.75" customHeight="1" thickBot="1" x14ac:dyDescent="0.25">
      <c r="A10" s="10" t="s">
        <v>11</v>
      </c>
      <c r="B10" s="11">
        <f t="shared" si="0"/>
        <v>5</v>
      </c>
      <c r="C10" s="11">
        <v>5</v>
      </c>
      <c r="D10" s="11"/>
      <c r="E10" s="11"/>
      <c r="F10" s="11"/>
      <c r="G10" s="11"/>
      <c r="H10" s="11"/>
      <c r="I10" s="11"/>
      <c r="J10" s="91">
        <f t="shared" si="1"/>
        <v>0</v>
      </c>
      <c r="K10" s="92"/>
    </row>
    <row r="11" spans="1:11" ht="15.75" customHeight="1" thickBot="1" x14ac:dyDescent="0.25">
      <c r="A11" s="10" t="s">
        <v>12</v>
      </c>
      <c r="B11" s="11">
        <f t="shared" si="0"/>
        <v>23</v>
      </c>
      <c r="C11" s="11">
        <v>22</v>
      </c>
      <c r="D11" s="11">
        <v>1</v>
      </c>
      <c r="E11" s="11"/>
      <c r="F11" s="11"/>
      <c r="G11" s="11"/>
      <c r="H11" s="11"/>
      <c r="I11" s="11"/>
      <c r="J11" s="91">
        <f t="shared" si="1"/>
        <v>1</v>
      </c>
      <c r="K11" s="92"/>
    </row>
    <row r="12" spans="1:11" ht="15.75" customHeight="1" thickBot="1" x14ac:dyDescent="0.25">
      <c r="A12" s="10" t="s">
        <v>13</v>
      </c>
      <c r="B12" s="11">
        <f t="shared" si="0"/>
        <v>15</v>
      </c>
      <c r="C12" s="11">
        <v>15</v>
      </c>
      <c r="D12" s="11"/>
      <c r="E12" s="11"/>
      <c r="F12" s="11"/>
      <c r="G12" s="11"/>
      <c r="H12" s="11"/>
      <c r="I12" s="11"/>
      <c r="J12" s="91">
        <f t="shared" si="1"/>
        <v>0</v>
      </c>
      <c r="K12" s="92"/>
    </row>
    <row r="13" spans="1:11" ht="15.75" customHeight="1" thickBot="1" x14ac:dyDescent="0.25">
      <c r="A13" s="10" t="s">
        <v>133</v>
      </c>
      <c r="B13" s="11">
        <f t="shared" si="0"/>
        <v>41</v>
      </c>
      <c r="C13" s="11">
        <v>40</v>
      </c>
      <c r="D13" s="11">
        <v>1</v>
      </c>
      <c r="E13" s="11"/>
      <c r="F13" s="11"/>
      <c r="G13" s="11"/>
      <c r="H13" s="11"/>
      <c r="I13" s="11"/>
      <c r="J13" s="91">
        <f t="shared" si="1"/>
        <v>1</v>
      </c>
      <c r="K13" s="92"/>
    </row>
    <row r="14" spans="1:11" ht="26.25" customHeight="1" thickBot="1" x14ac:dyDescent="0.25">
      <c r="A14" s="10" t="s">
        <v>123</v>
      </c>
      <c r="B14" s="11">
        <f t="shared" si="0"/>
        <v>6</v>
      </c>
      <c r="C14" s="11">
        <v>6</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Clinton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6283</v>
      </c>
      <c r="R7" s="42">
        <f t="shared" ref="R7:R15" si="5">SUM(N7:Q7)</f>
        <v>6284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55</v>
      </c>
      <c r="D8" s="34">
        <f>IF((AND(C67&gt;0,C8&gt;0)),(C8/C67),0)</f>
        <v>5500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55</v>
      </c>
      <c r="Q8" s="42">
        <f>(C$67*L67)-C8</f>
        <v>-54</v>
      </c>
      <c r="R8" s="42">
        <f t="shared" si="5"/>
        <v>1.0499999999999972</v>
      </c>
      <c r="S8" s="30">
        <f t="shared" si="6"/>
        <v>7.9406249999999785</v>
      </c>
      <c r="T8" s="30">
        <f t="shared" si="7"/>
        <v>-148.36250000000001</v>
      </c>
      <c r="U8" s="31">
        <f t="shared" si="8"/>
        <v>-5.3521779425393733E-2</v>
      </c>
    </row>
    <row r="9" spans="2:21" ht="18" customHeight="1" x14ac:dyDescent="0.25">
      <c r="B9" s="32" t="str">
        <f>'Data Entry'!A9</f>
        <v xml:space="preserve">4. Cases Diverted </v>
      </c>
      <c r="C9" s="33">
        <f>'Data Entry'!C9</f>
        <v>4</v>
      </c>
      <c r="D9" s="34">
        <f>IF((AND(C68&gt;0,C9&gt;0)),((C9/C68)),0)</f>
        <v>7.2727272727272725</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51.000000000000007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9.0909090909090899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50.000000000000007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22</v>
      </c>
      <c r="D11" s="34">
        <f>IF(((AND(C68&gt;0,C11&gt;0))),(C11/(C68)),0)</f>
        <v>40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33.000000000000007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68.181818181818187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7</v>
      </c>
      <c r="R12" s="42">
        <f t="shared" si="5"/>
        <v>22</v>
      </c>
      <c r="S12" s="30">
        <f t="shared" si="6"/>
        <v>0</v>
      </c>
      <c r="T12" s="30">
        <f t="shared" si="7"/>
        <v>0</v>
      </c>
      <c r="U12" s="31" t="str">
        <f t="shared" si="8"/>
        <v>- -</v>
      </c>
    </row>
    <row r="13" spans="2:21" ht="18" customHeight="1" x14ac:dyDescent="0.25">
      <c r="B13" s="32" t="str">
        <f>'Data Entry'!A13</f>
        <v>8. Cases Resulting in Probation Placement</v>
      </c>
      <c r="C13" s="33">
        <f>'Data Entry'!C13</f>
        <v>40</v>
      </c>
      <c r="D13" s="34">
        <f>IF(((AND(C70&gt;0,C13&gt;0))),(C13/(C70)),0)</f>
        <v>266.66666666666669</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-25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9</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0</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v>
      </c>
      <c r="E44" s="56">
        <f>MAX(C44:D44,0)</f>
        <v>0.55000000000000004</v>
      </c>
      <c r="G44" s="1" t="str">
        <f>B44</f>
        <v>per 100 referrals</v>
      </c>
      <c r="L44" s="57">
        <v>100</v>
      </c>
      <c r="M44" s="57"/>
      <c r="R44" s="49"/>
    </row>
    <row r="45" spans="2:18" ht="15" hidden="1" customHeight="1" x14ac:dyDescent="0.25">
      <c r="B45" s="49" t="s">
        <v>89</v>
      </c>
      <c r="C45" s="49">
        <f>C11/100</f>
        <v>0.22</v>
      </c>
      <c r="D45" s="49">
        <f>E11/100</f>
        <v>0</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0</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0</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0</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0</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Clinton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Entry'!J6</f>
        <v>931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931</v>
      </c>
      <c r="P7" s="42">
        <f t="shared" ref="P7:P15" si="4">C7</f>
        <v>1</v>
      </c>
      <c r="Q7" s="42">
        <f>C6-C7</f>
        <v>6283</v>
      </c>
      <c r="R7" s="42">
        <f t="shared" ref="R7:R15" si="5">SUM(N7:Q7)</f>
        <v>7215</v>
      </c>
      <c r="S7" s="30">
        <f t="shared" ref="S7:S15" si="6">R7*((((N7*Q7)-(O7*P7))^2))</f>
        <v>6253680615</v>
      </c>
      <c r="T7" s="30">
        <f t="shared" ref="T7:T15" si="7">(N7+O7)*(P7+Q7)*(N7+P7)*(O7+Q7)</f>
        <v>42204814456</v>
      </c>
      <c r="U7" s="31">
        <f t="shared" ref="U7:U15" si="8">IF((S7&gt;0),S7/T7,"- -")</f>
        <v>0.14817457902864806</v>
      </c>
    </row>
    <row r="8" spans="2:21" ht="18" customHeight="1" x14ac:dyDescent="0.25">
      <c r="B8" s="32" t="str">
        <f>'Data Entry'!A8</f>
        <v>3. Refer to Juvenile Court</v>
      </c>
      <c r="C8" s="33">
        <f>'Data Entry'!C8</f>
        <v>55</v>
      </c>
      <c r="D8" s="34">
        <f>IF((AND(C67&gt;0,C8&gt;0)),(C8/C67),0)</f>
        <v>5500</v>
      </c>
      <c r="E8" s="33">
        <f>'Data Entry'!J8</f>
        <v>3</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-2.95</v>
      </c>
      <c r="P8" s="42">
        <f t="shared" si="4"/>
        <v>55</v>
      </c>
      <c r="Q8" s="42">
        <f>(C$67*L67)-C8</f>
        <v>-54</v>
      </c>
      <c r="R8" s="42">
        <f t="shared" si="5"/>
        <v>1.0499999999999972</v>
      </c>
      <c r="S8" s="30">
        <f t="shared" si="6"/>
        <v>6.5624999999999822E-2</v>
      </c>
      <c r="T8" s="30">
        <f t="shared" si="7"/>
        <v>-165.15499999999943</v>
      </c>
      <c r="U8" s="31">
        <f t="shared" si="8"/>
        <v>-3.9735400078713966E-4</v>
      </c>
    </row>
    <row r="9" spans="2:21" ht="18" customHeight="1" x14ac:dyDescent="0.25">
      <c r="B9" s="32" t="str">
        <f>'Data Entry'!A9</f>
        <v xml:space="preserve">4. Cases Diverted </v>
      </c>
      <c r="C9" s="33">
        <f>'Data Entry'!C9</f>
        <v>4</v>
      </c>
      <c r="D9" s="34">
        <f>IF((AND(C68&gt;0,C9&gt;0)),((C9/C68)),0)</f>
        <v>7.2727272727272725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4</v>
      </c>
      <c r="Q9" s="42">
        <f>(C$68*L68)-C9</f>
        <v>51.000000000000007</v>
      </c>
      <c r="R9" s="42">
        <f t="shared" si="5"/>
        <v>58.000000000000007</v>
      </c>
      <c r="S9" s="30">
        <f t="shared" si="6"/>
        <v>8352.0000000000018</v>
      </c>
      <c r="T9" s="30">
        <f t="shared" si="7"/>
        <v>35640.000000000007</v>
      </c>
      <c r="U9" s="31">
        <f t="shared" si="8"/>
        <v>0.23434343434343435</v>
      </c>
    </row>
    <row r="10" spans="2:21" ht="18" customHeight="1" x14ac:dyDescent="0.25">
      <c r="B10" s="32" t="str">
        <f>'Data Entry'!A10</f>
        <v>5. Cases Involving Secure Detention</v>
      </c>
      <c r="C10" s="33">
        <f>'Data Entry'!C10</f>
        <v>5</v>
      </c>
      <c r="D10" s="34">
        <f>IF(((AND(C68&gt;0,C10&gt;0))),(C10/(C68)),0)</f>
        <v>9.0909090909090899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5</v>
      </c>
      <c r="Q10" s="42">
        <f>(C$68*L68)-C10</f>
        <v>50.000000000000007</v>
      </c>
      <c r="R10" s="42">
        <f t="shared" si="5"/>
        <v>58.000000000000007</v>
      </c>
      <c r="S10" s="30">
        <f t="shared" si="6"/>
        <v>13050.000000000002</v>
      </c>
      <c r="T10" s="30">
        <f t="shared" si="7"/>
        <v>43725.000000000015</v>
      </c>
      <c r="U10" s="31">
        <f t="shared" si="8"/>
        <v>0.29845626072041159</v>
      </c>
    </row>
    <row r="11" spans="2:21" ht="18" customHeight="1" x14ac:dyDescent="0.25">
      <c r="B11" s="32" t="str">
        <f>'Data Entry'!A11</f>
        <v>6. Cases Petitioned (Charge Filed)</v>
      </c>
      <c r="C11" s="33">
        <f>'Data Entry'!C11</f>
        <v>22</v>
      </c>
      <c r="D11" s="34">
        <f>IF(((AND(C68&gt;0,C11&gt;0))),(C11/(C68)),0)</f>
        <v>40</v>
      </c>
      <c r="E11" s="33">
        <f>'Data Entry'!J11</f>
        <v>1</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2</v>
      </c>
      <c r="P11" s="42">
        <f t="shared" si="4"/>
        <v>22</v>
      </c>
      <c r="Q11" s="42">
        <f>(C$68*L68)-C11</f>
        <v>33.000000000000007</v>
      </c>
      <c r="R11" s="42">
        <f t="shared" si="5"/>
        <v>58.000000000000007</v>
      </c>
      <c r="S11" s="30">
        <f t="shared" si="6"/>
        <v>7017.9999999999918</v>
      </c>
      <c r="T11" s="30">
        <f t="shared" si="7"/>
        <v>132825.00000000003</v>
      </c>
      <c r="U11" s="31">
        <f t="shared" si="8"/>
        <v>5.2836438923395374E-2</v>
      </c>
    </row>
    <row r="12" spans="2:21" ht="18" customHeight="1" x14ac:dyDescent="0.25">
      <c r="B12" s="32" t="str">
        <f>'Data Entry'!A12</f>
        <v>7. Cases Resulting in Delinquent Findings</v>
      </c>
      <c r="C12" s="33">
        <f>'Data Entry'!C12</f>
        <v>15</v>
      </c>
      <c r="D12" s="34">
        <f>IF(((AND(C69&gt;0,C12&gt;0))),(C12/(C69)),0)</f>
        <v>68.181818181818187</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15</v>
      </c>
      <c r="Q12" s="42">
        <f>(C69*L69)-C12</f>
        <v>7</v>
      </c>
      <c r="R12" s="42">
        <f t="shared" si="5"/>
        <v>23</v>
      </c>
      <c r="S12" s="30">
        <f t="shared" si="6"/>
        <v>5175</v>
      </c>
      <c r="T12" s="30">
        <f t="shared" si="7"/>
        <v>2640</v>
      </c>
      <c r="U12" s="31">
        <f t="shared" si="8"/>
        <v>1.9602272727272727</v>
      </c>
    </row>
    <row r="13" spans="2:21" ht="18" customHeight="1" x14ac:dyDescent="0.25">
      <c r="B13" s="32" t="str">
        <f>'Data Entry'!A13</f>
        <v>8. Cases Resulting in Probation Placement</v>
      </c>
      <c r="C13" s="33">
        <f>'Data Entry'!C13</f>
        <v>40</v>
      </c>
      <c r="D13" s="34">
        <f>IF(((AND(C70&gt;0,C13&gt;0))),(C13/(C70)),0)</f>
        <v>266.66666666666669</v>
      </c>
      <c r="E13" s="33">
        <f>'Data Entry'!J13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40</v>
      </c>
      <c r="Q13" s="42">
        <f>(C70*L70)-C13</f>
        <v>-25</v>
      </c>
      <c r="R13" s="42">
        <f t="shared" si="5"/>
        <v>15</v>
      </c>
      <c r="S13" s="30">
        <f t="shared" si="6"/>
        <v>3375</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9</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22</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0.93100000000000005</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0.03</v>
      </c>
      <c r="E44" s="56">
        <f>MAX(C44:D44,0)</f>
        <v>0.55000000000000004</v>
      </c>
      <c r="G44" s="1" t="str">
        <f>B44</f>
        <v>per 100 referrals</v>
      </c>
      <c r="L44" s="57">
        <v>100</v>
      </c>
      <c r="M44" s="57"/>
      <c r="R44" s="49"/>
    </row>
    <row r="45" spans="2:18" ht="15" hidden="1" customHeight="1" x14ac:dyDescent="0.25">
      <c r="B45" s="49" t="s">
        <v>89</v>
      </c>
      <c r="C45" s="49">
        <f>C11/100</f>
        <v>0.22</v>
      </c>
      <c r="D45" s="49">
        <f>E11/100</f>
        <v>0.01</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0.93100000000000005</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0.03</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0.01</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0.93100000000000005</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0.03</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0.01</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0.93100000000000005</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0.03</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0.01</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0.93100000000000005</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0.03</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0.01</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Clinton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t="e">
        <f>Hispanic!L13</f>
        <v>#VALUE!</v>
      </c>
      <c r="N13" s="1" t="e">
        <f>Asian!L13</f>
        <v>#VALUE!</v>
      </c>
      <c r="O13" s="1" t="e">
        <f>Hawaiian!L13</f>
        <v>#VALUE!</v>
      </c>
      <c r="P13" s="1" t="e">
        <f>'Am Indian'!L13</f>
        <v>#VALUE!</v>
      </c>
      <c r="Q13" s="1" t="e">
        <f>'Other - Mixed'!L13</f>
        <v>#VALUE!</v>
      </c>
      <c r="R13" s="1" t="e">
        <f>'All Minorities'!L13</f>
        <v>#DIV/0!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7215</v>
      </c>
      <c r="D3" s="57">
        <f>'Data Entry'!C6</f>
        <v>6284</v>
      </c>
      <c r="E3" s="57">
        <f>'Data Entry'!D6</f>
        <v>259</v>
      </c>
      <c r="F3" s="57">
        <f>'Data Entry'!E6</f>
        <v>521</v>
      </c>
      <c r="G3" s="57">
        <f>'Data Entry'!F6</f>
        <v>123</v>
      </c>
      <c r="H3" s="57">
        <f>'Data Entry'!G6</f>
        <v>0</v>
      </c>
      <c r="I3" s="57">
        <f>'Data Entry'!H6</f>
        <v>28</v>
      </c>
      <c r="J3" s="57">
        <f>'Data Entry'!I6</f>
        <v>0</v>
      </c>
      <c r="K3" s="57">
        <f>'Data Entry'!J6</f>
        <v>931</v>
      </c>
    </row>
    <row r="4" spans="2:11" ht="15" customHeight="1" x14ac:dyDescent="0.25">
      <c r="B4" s="16" t="s">
        <v>8</v>
      </c>
      <c r="C4" s="1">
        <f>IF((C$3&gt;0),(1000*('Data Entry'!B7/'Data Entry'!B$6)), 0)</f>
        <v>0.13860013860013859</v>
      </c>
      <c r="D4" s="1">
        <f>IF((D$3&gt;0),(1000*('Data Entry'!C7/'Data Entry'!C$6)), 0)</f>
        <v>0.15913430935709738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8.8704088704088697</v>
      </c>
      <c r="D5" s="1">
        <f>IF((D$3&gt;0),(1000*('Data Entry'!C8/'Data Entry'!C$6)), 0)</f>
        <v>8.7523870146403571</v>
      </c>
      <c r="E5" s="1">
        <f>IF((E$3&gt;0),(1000*('Data Entry'!D8/'Data Entry'!D$6)), 0)</f>
        <v>11.583011583011583</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3.2223415682062302</v>
      </c>
    </row>
    <row r="6" spans="2:11" ht="15" customHeight="1" x14ac:dyDescent="0.25">
      <c r="B6" s="16" t="s">
        <v>10</v>
      </c>
      <c r="C6" s="1">
        <f>IF((C$3&gt;0),(1000*('Data Entry'!B9/'Data Entry'!B$6)), 0)</f>
        <v>0.55440055440055436</v>
      </c>
      <c r="D6" s="1">
        <f>IF((D$3&gt;0),(1000*('Data Entry'!C9/'Data Entry'!C$6)), 0)</f>
        <v>0.63653723742838952</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0.693000693000693</v>
      </c>
      <c r="D7" s="1">
        <f>IF((D$3&gt;0),(1000*('Data Entry'!C10/'Data Entry'!C$6)), 0)</f>
        <v>0.79567154678548702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3.1878031878031878</v>
      </c>
      <c r="D8" s="1">
        <f>IF((D$3&gt;0),(1000*('Data Entry'!C11/'Data Entry'!C$6)), 0)</f>
        <v>3.5009548058561428</v>
      </c>
      <c r="E8" s="1">
        <f>IF((E$3&gt;0),(1000*('Data Entry'!D11/'Data Entry'!D$6)), 0)</f>
        <v>3.8610038610038613</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1.0741138560687433</v>
      </c>
    </row>
    <row r="9" spans="2:11" ht="15" customHeight="1" x14ac:dyDescent="0.25">
      <c r="B9" s="16" t="s">
        <v>13</v>
      </c>
      <c r="C9" s="1">
        <f>IF((C$3&gt;0),(1000*('Data Entry'!B12/'Data Entry'!B$6)), 0)</f>
        <v>2.0790020790020791</v>
      </c>
      <c r="D9" s="1">
        <f>IF((D$3&gt;0),(1000*('Data Entry'!C12/'Data Entry'!C$6)), 0)</f>
        <v>2.3870146403564609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5.6826056826056828</v>
      </c>
      <c r="D10" s="1">
        <f>IF((D$3&gt;0),(1000*('Data Entry'!C13/'Data Entry'!C$6)), 0)</f>
        <v>6.3653723742838961</v>
      </c>
      <c r="E10" s="1">
        <f>IF((E$3&gt;0),(1000*('Data Entry'!D13/'Data Entry'!D$6)), 0)</f>
        <v>3.8610038610038613</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1.0741138560687433</v>
      </c>
    </row>
    <row r="11" spans="2:11" ht="25.5" customHeight="1" x14ac:dyDescent="0.25">
      <c r="B11" s="16" t="s">
        <v>15</v>
      </c>
      <c r="C11" s="1">
        <f>IF((C$3&gt;0),(1000*('Data Entry'!B14/'Data Entry'!B$6)), 0)</f>
        <v>0.83160083160083165</v>
      </c>
      <c r="D11" s="1">
        <f>IF((D$3&gt;0),(1000*('Data Entry'!C14/'Data Entry'!C$6)), 0)</f>
        <v>0.95480585614258429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Clinton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1.3234117234117233</v>
      </c>
      <c r="E20" s="72" t="str">
        <f t="shared" si="2"/>
        <v>--</v>
      </c>
      <c r="F20" s="72" t="str">
        <f t="shared" si="2"/>
        <v>--</v>
      </c>
      <c r="G20" s="72" t="str">
        <f t="shared" si="2"/>
        <v>--</v>
      </c>
      <c r="H20" s="72" t="str">
        <f t="shared" si="2"/>
        <v>--</v>
      </c>
      <c r="I20" s="72" t="str">
        <f t="shared" si="2"/>
        <v>--</v>
      </c>
      <c r="J20" s="73">
        <f t="shared" si="2"/>
        <v>0.36816717117469</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1.1028431028431029</v>
      </c>
      <c r="E23" s="72" t="str">
        <f t="shared" si="2"/>
        <v>--</v>
      </c>
      <c r="F23" s="72" t="str">
        <f t="shared" si="2"/>
        <v>--</v>
      </c>
      <c r="G23" s="72" t="str">
        <f t="shared" si="2"/>
        <v>--</v>
      </c>
      <c r="H23" s="72" t="str">
        <f t="shared" si="2"/>
        <v>--</v>
      </c>
      <c r="I23" s="72" t="str">
        <f t="shared" si="2"/>
        <v>--</v>
      </c>
      <c r="J23" s="73">
        <f t="shared" si="2"/>
        <v>0.3068059759789083</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f t="shared" si="2"/>
        <v>0.60656370656370651</v>
      </c>
      <c r="E25" s="72" t="str">
        <f t="shared" si="2"/>
        <v>--</v>
      </c>
      <c r="F25" s="72" t="str">
        <f t="shared" si="2"/>
        <v>--</v>
      </c>
      <c r="G25" s="72" t="str">
        <f t="shared" si="2"/>
        <v>--</v>
      </c>
      <c r="H25" s="72" t="str">
        <f t="shared" si="2"/>
        <v>--</v>
      </c>
      <c r="I25" s="72" t="str">
        <f t="shared" si="2"/>
        <v>--</v>
      </c>
      <c r="J25" s="73">
        <f t="shared" si="2"/>
        <v>0.16874328678839956</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Clinton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6284</v>
      </c>
      <c r="D7" s="105">
        <f>'Data Entry'!D6</f>
        <v>259</v>
      </c>
      <c r="E7" s="106"/>
      <c r="F7" s="107">
        <f>'Data Entry'!E6</f>
        <v>521</v>
      </c>
      <c r="G7" s="106"/>
      <c r="H7" s="107">
        <f>'Data Entry'!F6</f>
        <v>123</v>
      </c>
      <c r="I7" s="106"/>
      <c r="J7" s="107">
        <f>'Data Entry'!G6</f>
        <v>0</v>
      </c>
      <c r="K7" s="106"/>
      <c r="L7" s="107">
        <f>'Data Entry'!H6</f>
        <v>28</v>
      </c>
      <c r="M7" s="106"/>
      <c r="N7" s="107">
        <f>'Data Entry'!I6</f>
        <v>0</v>
      </c>
      <c r="O7" s="106"/>
      <c r="P7" s="107">
        <f>'Data Entry'!J6</f>
        <v>931</v>
      </c>
      <c r="Q7" s="108"/>
    </row>
    <row r="8" spans="2:26" s="1" customFormat="1" ht="15" customHeight="1" x14ac:dyDescent="0.3">
      <c r="B8" s="149" t="s">
        <v>8</v>
      </c>
      <c r="C8" s="104">
        <f>'Data Entry'!C7</f>
        <v>1</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x14ac:dyDescent="0.3">
      <c r="B9" s="149" t="s">
        <v>134</v>
      </c>
      <c r="C9" s="104">
        <f>'Data Entry'!C8</f>
        <v>55</v>
      </c>
      <c r="D9" s="109">
        <f>'Data Entry'!D8</f>
        <v>3</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3</v>
      </c>
      <c r="Q9" s="112" t="str">
        <f>'All Minorities'!G8</f>
        <v>**</v>
      </c>
      <c r="R9"/>
      <c r="T9" s="1">
        <f>'Black or African-American'!L8</f>
        <v>40</v>
      </c>
      <c r="U9" s="1">
        <f>Hispanic!L8</f>
        <v>40</v>
      </c>
      <c r="V9" s="1">
        <f>Asian!L8</f>
        <v>40</v>
      </c>
      <c r="W9" s="1">
        <f>Hawaiian!L8</f>
        <v>139</v>
      </c>
      <c r="X9" s="1">
        <f>'Am Indian'!L8</f>
        <v>139</v>
      </c>
      <c r="Y9" s="1">
        <f>'Other - Mixed'!L8</f>
        <v>139</v>
      </c>
      <c r="Z9" s="1">
        <f>'All Minorities'!L8</f>
        <v>40</v>
      </c>
    </row>
    <row r="10" spans="2:26" s="1" customFormat="1" ht="15" customHeight="1" x14ac:dyDescent="0.3">
      <c r="B10" s="149" t="s">
        <v>10</v>
      </c>
      <c r="C10" s="104">
        <f>'Data Entry'!C9</f>
        <v>4</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x14ac:dyDescent="0.3">
      <c r="B11" s="149" t="s">
        <v>11</v>
      </c>
      <c r="C11" s="104">
        <f>'Data Entry'!C10</f>
        <v>5</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x14ac:dyDescent="0.3">
      <c r="B12" s="149" t="s">
        <v>95</v>
      </c>
      <c r="C12" s="104">
        <f>'Data Entry'!C11</f>
        <v>22</v>
      </c>
      <c r="D12" s="113">
        <f>'Data Entry'!D11</f>
        <v>1</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1</v>
      </c>
      <c r="Q12" s="116"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x14ac:dyDescent="0.3">
      <c r="B13" s="149" t="s">
        <v>13</v>
      </c>
      <c r="C13" s="104">
        <f>'Data Entry'!C12</f>
        <v>15</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40</v>
      </c>
      <c r="D14" s="113">
        <f>'Data Entry'!D13</f>
        <v>1</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1</v>
      </c>
      <c r="Q14" s="116" t="str">
        <f>'All Minorities'!G13</f>
        <v>--</v>
      </c>
      <c r="R14"/>
      <c r="T14" s="1" t="e">
        <f>'Black or African-American'!L13</f>
        <v>#DIV/0!</v>
      </c>
      <c r="U14" s="1" t="e">
        <f>Hispanic!L13</f>
        <v>#VALUE!</v>
      </c>
      <c r="V14" s="1" t="e">
        <f>Asian!L13</f>
        <v>#VALUE!</v>
      </c>
      <c r="W14" s="1" t="e">
        <f>Hawaiian!L13</f>
        <v>#VALUE!</v>
      </c>
      <c r="X14" s="1" t="e">
        <f>'Am Indian'!L13</f>
        <v>#VALUE!</v>
      </c>
      <c r="Y14" s="1" t="e">
        <f>'Other - Mixed'!L13</f>
        <v>#VALUE!</v>
      </c>
      <c r="Z14" s="1" t="e">
        <f>'All Minorities'!L13</f>
        <v>#DIV/0!</v>
      </c>
    </row>
    <row r="15" spans="2:26" s="1" customFormat="1" ht="33" x14ac:dyDescent="0.3">
      <c r="B15" s="151" t="s">
        <v>123</v>
      </c>
      <c r="C15" s="104">
        <f>'Data Entry'!C14</f>
        <v>6</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Clinton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Clinton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6.7497314715359824</v>
      </c>
    </row>
    <row r="8" spans="1:12" ht="25.5" customHeight="1" x14ac:dyDescent="0.2">
      <c r="A8" s="158" t="str">
        <f>CONCATENATE("Confinement, total N=", 'Data Entry'!B14)</f>
        <v>Confinement, total N=6</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N=6</v>
      </c>
      <c r="L8">
        <f>I14/(SUM(B14:G14))</f>
        <v>6.7497314715359824</v>
      </c>
    </row>
    <row r="9" spans="1:12" x14ac:dyDescent="0.2">
      <c r="A9" s="132" t="str">
        <f>CONCATENATE("Delinquent Findings, total N=", 'Data Entry'!B12)</f>
        <v>Delinquent Findings, total N=15</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N=15</v>
      </c>
      <c r="L9">
        <f>I14/(SUM(B14:G14))</f>
        <v>6.7497314715359824</v>
      </c>
    </row>
    <row r="10" spans="1:12" x14ac:dyDescent="0.2">
      <c r="A10" s="132" t="str">
        <f>CONCATENATE("Petitions, total N=", 'Data Entry'!B11)</f>
        <v>Petitions, total N=23</v>
      </c>
      <c r="B10" s="157">
        <f>'Data Entry'!D11/'Data Entry'!B11</f>
        <v>4.3478260869565216E-2</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0.95652173913043481</v>
      </c>
      <c r="K10" s="97" t="str">
        <f t="shared" si="0"/>
        <v>Petitions, total N=23</v>
      </c>
      <c r="L10">
        <f>I14/(SUM(B14:G14))</f>
        <v>6.7497314715359824</v>
      </c>
    </row>
    <row r="11" spans="1:12" x14ac:dyDescent="0.2">
      <c r="A11" s="132" t="str">
        <f>CONCATENATE("Detentions, total N=", 'Data Entry'!B10)</f>
        <v>Detentions, total N=5</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N=5</v>
      </c>
      <c r="L11">
        <f>I14/(SUM(B14:G14))</f>
        <v>6.7497314715359824</v>
      </c>
    </row>
    <row r="12" spans="1:12" x14ac:dyDescent="0.2">
      <c r="A12" s="132" t="str">
        <f>CONCATENATE("Referrals, total N=", 'Data Entry'!B8)</f>
        <v>Referrals, total N=64</v>
      </c>
      <c r="B12" s="157">
        <f>'Data Entry'!D8/'Data Entry'!B8</f>
        <v>4.6875E-2</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0.859375</v>
      </c>
      <c r="K12" s="97" t="str">
        <f t="shared" si="0"/>
        <v>Referrals, total N=64</v>
      </c>
      <c r="L12">
        <f>I14/(SUM(B14:G14))</f>
        <v>6.7497314715359824</v>
      </c>
    </row>
    <row r="13" spans="1:12" x14ac:dyDescent="0.2">
      <c r="A13" s="132" t="str">
        <f>CONCATENATE("Arrests, total N=", 'Data Entry'!B7)</f>
        <v>Arrests, total N=1</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N=1</v>
      </c>
      <c r="L13">
        <f>I14/(SUM(B14:G14))</f>
        <v>6.7497314715359824</v>
      </c>
    </row>
    <row r="14" spans="1:12" x14ac:dyDescent="0.2">
      <c r="A14" s="132" t="str">
        <f>CONCATENATE("Population, total N=", 'Data Entry'!B6)</f>
        <v>Population, total N=7215</v>
      </c>
      <c r="B14" s="157">
        <f>'Data Entry'!D6/'Data Entry'!B6</f>
        <v>3.5897435897435895E-2</v>
      </c>
      <c r="C14" s="157">
        <f>'Data Entry'!E6/'Data Entry'!B6</f>
        <v>7.2210672210672205E-2</v>
      </c>
      <c r="D14" s="157">
        <f>'Data Entry'!F6/'Data Entry'!B6</f>
        <v>1.7047817047817049E-2</v>
      </c>
      <c r="E14" s="157">
        <f>'Data Entry'!G6/'Data Entry'!B6</f>
        <v>0</v>
      </c>
      <c r="F14" s="157">
        <f>'Data Entry'!H6/'Data Entry'!B6</f>
        <v>3.8808038808038807E-3</v>
      </c>
      <c r="G14" s="157">
        <f>'Data Entry'!I6/'Data Entry'!B6</f>
        <v>0</v>
      </c>
      <c r="H14" s="157">
        <f>SUM(D14:G14)/'Data Entry'!B6</f>
        <v>2.9007097614166222E-6</v>
      </c>
      <c r="I14" s="157">
        <f>'Data Entry'!C6/'Data Entry'!B6</f>
        <v>0.87096327096327097</v>
      </c>
      <c r="K14" s="97" t="str">
        <f t="shared" si="0"/>
        <v>Population, total N=7215</v>
      </c>
      <c r="L14">
        <f>I14/(SUM(B14:G14))</f>
        <v>6.7497314715359824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Clinton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6284</v>
      </c>
      <c r="D7" s="105">
        <f>'Data Entry'!D6</f>
        <v>259</v>
      </c>
      <c r="E7" s="106"/>
      <c r="F7" s="107">
        <f>'Data Entry'!E6</f>
        <v>521</v>
      </c>
      <c r="G7" s="106"/>
      <c r="H7" s="107">
        <f>'Data Entry'!F6</f>
        <v>123</v>
      </c>
      <c r="I7" s="106"/>
      <c r="J7" s="107">
        <f>'Data Entry'!J6</f>
        <v>931</v>
      </c>
      <c r="K7" s="108"/>
    </row>
    <row r="8" spans="2:30" s="1" customFormat="1" ht="15" customHeight="1" x14ac:dyDescent="0.3">
      <c r="B8" s="125" t="s">
        <v>8</v>
      </c>
      <c r="C8" s="104">
        <f>'Data Entry'!C7</f>
        <v>1</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x14ac:dyDescent="0.3">
      <c r="B9" s="125" t="s">
        <v>134</v>
      </c>
      <c r="C9" s="104">
        <f>'Data Entry'!C8</f>
        <v>55</v>
      </c>
      <c r="D9" s="109">
        <f>'Data Entry'!D8</f>
        <v>3</v>
      </c>
      <c r="E9" s="110" t="str">
        <f>'Black or African-American'!$G8</f>
        <v>**</v>
      </c>
      <c r="F9" s="111">
        <f>'Data Entry'!E8</f>
        <v>0</v>
      </c>
      <c r="G9" s="110" t="str">
        <f>Hispanic!G8</f>
        <v>**</v>
      </c>
      <c r="H9" s="111">
        <f>'Data Entry'!F8</f>
        <v>0</v>
      </c>
      <c r="I9" s="110" t="str">
        <f>Asian!G8</f>
        <v>**</v>
      </c>
      <c r="J9" s="111">
        <f>'Data Entry'!J8</f>
        <v>3</v>
      </c>
      <c r="K9" s="112" t="str">
        <f>'All Minorities'!G8</f>
        <v>**</v>
      </c>
      <c r="L9"/>
      <c r="N9" s="1">
        <f>'Black or African-American'!L8</f>
        <v>40</v>
      </c>
      <c r="O9" s="1">
        <f>Hispanic!L8</f>
        <v>40</v>
      </c>
      <c r="P9" s="1">
        <f>Asian!L8</f>
        <v>40</v>
      </c>
      <c r="Q9" s="1">
        <f>Hawaiian!L8</f>
        <v>139</v>
      </c>
      <c r="R9" s="1">
        <f>'Am Indian'!L8</f>
        <v>139</v>
      </c>
      <c r="S9" s="1">
        <f>'Other - Mixed'!L8</f>
        <v>139</v>
      </c>
      <c r="T9" s="1">
        <f>'All Minorities'!L8</f>
        <v>40</v>
      </c>
    </row>
    <row r="10" spans="2:30" s="1" customFormat="1" ht="15" customHeight="1" x14ac:dyDescent="0.3">
      <c r="B10" s="125" t="s">
        <v>10</v>
      </c>
      <c r="C10" s="104">
        <f>'Data Entry'!C9</f>
        <v>4</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x14ac:dyDescent="0.3">
      <c r="B11" s="125" t="s">
        <v>11</v>
      </c>
      <c r="C11" s="104">
        <f>'Data Entry'!C10</f>
        <v>5</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x14ac:dyDescent="0.3">
      <c r="B12" s="125" t="s">
        <v>95</v>
      </c>
      <c r="C12" s="104">
        <f>'Data Entry'!C11</f>
        <v>22</v>
      </c>
      <c r="D12" s="113">
        <f>'Data Entry'!D11</f>
        <v>1</v>
      </c>
      <c r="E12" s="114" t="str">
        <f>'Black or African-American'!$G11</f>
        <v>**</v>
      </c>
      <c r="F12" s="115">
        <f>'Data Entry'!E11</f>
        <v>0</v>
      </c>
      <c r="G12" s="114" t="str">
        <f>Hispanic!G11</f>
        <v>--</v>
      </c>
      <c r="H12" s="115">
        <f>'Data Entry'!F11</f>
        <v>0</v>
      </c>
      <c r="I12" s="114" t="str">
        <f>Asian!G11</f>
        <v>--</v>
      </c>
      <c r="J12" s="115">
        <f>'Data Entry'!J11</f>
        <v>1</v>
      </c>
      <c r="K12" s="116"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x14ac:dyDescent="0.3">
      <c r="B13" s="125" t="s">
        <v>13</v>
      </c>
      <c r="C13" s="104">
        <f>'Data Entry'!C12</f>
        <v>15</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40</v>
      </c>
      <c r="D14" s="113">
        <f>'Data Entry'!D13</f>
        <v>1</v>
      </c>
      <c r="E14" s="114" t="str">
        <f>'Black or African-American'!$G13</f>
        <v>--</v>
      </c>
      <c r="F14" s="115">
        <f>'Data Entry'!E13</f>
        <v>0</v>
      </c>
      <c r="G14" s="114" t="str">
        <f>Hispanic!G13</f>
        <v>--</v>
      </c>
      <c r="H14" s="115">
        <f>'Data Entry'!F13</f>
        <v>0</v>
      </c>
      <c r="I14" s="114" t="str">
        <f>Asian!G13</f>
        <v>--</v>
      </c>
      <c r="J14" s="115">
        <f>'Data Entry'!J13</f>
        <v>1</v>
      </c>
      <c r="K14" s="116" t="str">
        <f>'All Minorities'!G13</f>
        <v>--</v>
      </c>
      <c r="L14"/>
      <c r="N14" s="1" t="e">
        <f>'Black or African-American'!L13</f>
        <v>#DIV/0!</v>
      </c>
      <c r="O14" s="1" t="e">
        <f>Hispanic!L13</f>
        <v>#VALUE!</v>
      </c>
      <c r="P14" s="1" t="e">
        <f>Asian!L13</f>
        <v>#VALUE!</v>
      </c>
      <c r="Q14" s="1" t="e">
        <f>Hawaiian!L13</f>
        <v>#VALUE!</v>
      </c>
      <c r="R14" s="1" t="e">
        <f>'Am Indian'!L13</f>
        <v>#VALUE!</v>
      </c>
      <c r="S14" s="1" t="e">
        <f>'Other - Mixed'!L13</f>
        <v>#VALUE!</v>
      </c>
      <c r="T14" s="1" t="e">
        <f>'All Minorities'!L13</f>
        <v>#DIV/0!</v>
      </c>
      <c r="W14" s="135"/>
      <c r="X14" s="135"/>
      <c r="Y14" s="135"/>
      <c r="Z14" s="135"/>
      <c r="AA14" s="135"/>
      <c r="AB14" s="135"/>
      <c r="AC14" s="135"/>
      <c r="AD14" s="135"/>
    </row>
    <row r="15" spans="2:30" s="1" customFormat="1" ht="33" x14ac:dyDescent="0.3">
      <c r="B15" s="130" t="s">
        <v>123</v>
      </c>
      <c r="C15" s="104">
        <f>'Data Entry'!C14</f>
        <v>6</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Clinton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Entry'!D6</f>
        <v>259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259</v>
      </c>
      <c r="P7" s="42">
        <f t="shared" ref="P7:P15" si="2">C7</f>
        <v>1</v>
      </c>
      <c r="Q7" s="42">
        <f>C6-C7</f>
        <v>6283</v>
      </c>
      <c r="R7" s="42">
        <f t="shared" ref="R7:R15" si="3">SUM(N7:Q7)</f>
        <v>6543</v>
      </c>
      <c r="S7" s="30">
        <f t="shared" ref="S7:S15" si="4">R7*((((N7*Q7)-(O7*P7))^2))</f>
        <v>438910983</v>
      </c>
      <c r="T7" s="30">
        <f t="shared" ref="T7:T15" si="5">(N7+O7)*(P7+Q7)*(N7+P7)*(O7+Q7)</f>
        <v>10647471352</v>
      </c>
      <c r="U7" s="31">
        <f t="shared" ref="U7:U15" si="6">IF((S7&gt;0),S7/T7,"- -")</f>
        <v>4.1222086304797227E-2</v>
      </c>
    </row>
    <row r="8" spans="2:21" ht="18" customHeight="1" x14ac:dyDescent="0.25">
      <c r="B8" s="32" t="str">
        <f>'Data Entry'!A8</f>
        <v>3. Refer to Juvenile Court</v>
      </c>
      <c r="C8" s="33">
        <f>'Data Entry'!C8</f>
        <v>55</v>
      </c>
      <c r="D8" s="34">
        <f>IF((AND(C67&gt;0,C8&gt;0)),(C8/C67),0)</f>
        <v>5500</v>
      </c>
      <c r="E8" s="33">
        <f>'Data Entry'!D8</f>
        <v>3</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v>
      </c>
      <c r="O8" s="42">
        <f>((D67*L67)-E8)+0.05</f>
        <v>-2.95</v>
      </c>
      <c r="P8" s="42">
        <f t="shared" si="2"/>
        <v>55</v>
      </c>
      <c r="Q8" s="42">
        <f>(C$67*L67)-C8</f>
        <v>-54</v>
      </c>
      <c r="R8" s="42">
        <f t="shared" si="3"/>
        <v>1.0499999999999972</v>
      </c>
      <c r="S8" s="30">
        <f t="shared" si="4"/>
        <v>6.5624999999999822E-2</v>
      </c>
      <c r="T8" s="30">
        <f t="shared" si="5"/>
        <v>-165.15499999999943</v>
      </c>
      <c r="U8" s="31">
        <f t="shared" si="6"/>
        <v>-3.9735400078713966E-4</v>
      </c>
    </row>
    <row r="9" spans="2:21" ht="18" customHeight="1" x14ac:dyDescent="0.25">
      <c r="B9" s="32" t="str">
        <f>'Data Entry'!A9</f>
        <v xml:space="preserve">4. Cases Diverted </v>
      </c>
      <c r="C9" s="33">
        <f>'Data Entry'!C9</f>
        <v>4</v>
      </c>
      <c r="D9" s="34">
        <f>IF((AND(C68&gt;0,C9&gt;0)),((C9/C68)),0)</f>
        <v>7.2727272727272725</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3</v>
      </c>
      <c r="P9" s="42">
        <f t="shared" si="2"/>
        <v>4</v>
      </c>
      <c r="Q9" s="42">
        <f>(C$68*L68)-C9</f>
        <v>51.000000000000007</v>
      </c>
      <c r="R9" s="42">
        <f t="shared" si="3"/>
        <v>58.000000000000007</v>
      </c>
      <c r="S9" s="30">
        <f t="shared" si="4"/>
        <v>8352.0000000000018</v>
      </c>
      <c r="T9" s="30">
        <f t="shared" si="5"/>
        <v>35640.000000000007</v>
      </c>
      <c r="U9" s="31">
        <f t="shared" si="6"/>
        <v>0.23434343434343435</v>
      </c>
    </row>
    <row r="10" spans="2:21" ht="18" customHeight="1" x14ac:dyDescent="0.25">
      <c r="B10" s="32" t="str">
        <f>'Data Entry'!A10</f>
        <v>5. Cases Involving Secure Detention</v>
      </c>
      <c r="C10" s="33">
        <f>'Data Entry'!C10</f>
        <v>5</v>
      </c>
      <c r="D10" s="34">
        <f>IF(((AND(C68&gt;0,C10&gt;0))),(C10/(C68)),0)</f>
        <v>9.0909090909090899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5</v>
      </c>
      <c r="Q10" s="42">
        <f>(C$68*L68)-C10</f>
        <v>50.000000000000007</v>
      </c>
      <c r="R10" s="42">
        <f t="shared" si="3"/>
        <v>58.000000000000007</v>
      </c>
      <c r="S10" s="30">
        <f t="shared" si="4"/>
        <v>13050.000000000002</v>
      </c>
      <c r="T10" s="30">
        <f t="shared" si="5"/>
        <v>43725.000000000015</v>
      </c>
      <c r="U10" s="31">
        <f t="shared" si="6"/>
        <v>0.29845626072041159</v>
      </c>
    </row>
    <row r="11" spans="2:21" ht="18" customHeight="1" x14ac:dyDescent="0.25">
      <c r="B11" s="32" t="str">
        <f>'Data Entry'!A11</f>
        <v>6. Cases Petitioned (Charge Filed)</v>
      </c>
      <c r="C11" s="33">
        <f>'Data Entry'!C11</f>
        <v>22</v>
      </c>
      <c r="D11" s="34">
        <f>IF(((AND(C68&gt;0,C11&gt;0))),(C11/(C68)),0)</f>
        <v>40</v>
      </c>
      <c r="E11" s="33">
        <f>'Data Entry'!D11</f>
        <v>1</v>
      </c>
      <c r="F11" s="34">
        <f>IF(((AND($E$11&gt;0,$D$68&gt;0))),($E$11/($D$68)),0)</f>
        <v>33.333333333333336</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2</v>
      </c>
      <c r="P11" s="42">
        <f t="shared" si="2"/>
        <v>22</v>
      </c>
      <c r="Q11" s="42">
        <f>(C$68*L68)-C11</f>
        <v>33.000000000000007</v>
      </c>
      <c r="R11" s="42">
        <f t="shared" si="3"/>
        <v>58.000000000000007</v>
      </c>
      <c r="S11" s="30">
        <f t="shared" si="4"/>
        <v>7017.9999999999918</v>
      </c>
      <c r="T11" s="30">
        <f t="shared" si="5"/>
        <v>132825.00000000003</v>
      </c>
      <c r="U11" s="31">
        <f t="shared" si="6"/>
        <v>5.2836438923395374E-2</v>
      </c>
    </row>
    <row r="12" spans="2:21" ht="18" customHeight="1" x14ac:dyDescent="0.25">
      <c r="B12" s="32" t="str">
        <f>'Data Entry'!A12</f>
        <v>7. Cases Resulting in Delinquent Findings</v>
      </c>
      <c r="C12" s="33">
        <f>'Data Entry'!C12</f>
        <v>15</v>
      </c>
      <c r="D12" s="34">
        <f>IF(((AND(C69&gt;0,C12&gt;0))),(C12/(C69)),0)</f>
        <v>68.181818181818187</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15</v>
      </c>
      <c r="Q12" s="42">
        <f>(C69*L69)-C12</f>
        <v>7</v>
      </c>
      <c r="R12" s="42">
        <f t="shared" si="3"/>
        <v>23</v>
      </c>
      <c r="S12" s="30">
        <f t="shared" si="4"/>
        <v>5175</v>
      </c>
      <c r="T12" s="30">
        <f t="shared" si="5"/>
        <v>2640</v>
      </c>
      <c r="U12" s="31">
        <f t="shared" si="6"/>
        <v>1.9602272727272727</v>
      </c>
    </row>
    <row r="13" spans="2:21" ht="18" customHeight="1" x14ac:dyDescent="0.25">
      <c r="B13" s="32" t="str">
        <f>'Data Entry'!A13</f>
        <v>8. Cases Resulting in Probation Placement</v>
      </c>
      <c r="C13" s="33">
        <f>'Data Entry'!C13</f>
        <v>40</v>
      </c>
      <c r="D13" s="34">
        <f>IF(((AND(C70&gt;0,C13&gt;0))),(C13/(C70)),0)</f>
        <v>266.66666666666669</v>
      </c>
      <c r="E13" s="33">
        <f>'Data Entry'!D13</f>
        <v>1</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1</v>
      </c>
      <c r="O13" s="42">
        <f>(D70*L70)-E13</f>
        <v>-1</v>
      </c>
      <c r="P13" s="42">
        <f t="shared" si="2"/>
        <v>40</v>
      </c>
      <c r="Q13" s="42">
        <f>(C70*L70)-C13</f>
        <v>-25</v>
      </c>
      <c r="R13" s="42">
        <f t="shared" si="3"/>
        <v>15</v>
      </c>
      <c r="S13" s="30">
        <f t="shared" si="4"/>
        <v>3375</v>
      </c>
      <c r="T13" s="30">
        <f t="shared" si="5"/>
        <v>0</v>
      </c>
      <c r="U13" s="31" t="e">
        <f t="shared" si="6"/>
        <v>#DIV/0!</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6</v>
      </c>
      <c r="Q14" s="42">
        <f>(C70*L70)-C14</f>
        <v>9</v>
      </c>
      <c r="R14" s="42">
        <f t="shared" si="3"/>
        <v>15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22</v>
      </c>
      <c r="R15" s="42">
        <f t="shared" si="3"/>
        <v>23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0.25900000000000001</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0.03</v>
      </c>
      <c r="E44" s="56">
        <f>MAX(C44:D44,0)</f>
        <v>0.55000000000000004</v>
      </c>
      <c r="G44" s="1" t="str">
        <f>B44</f>
        <v>per 100 referrals</v>
      </c>
      <c r="L44" s="57">
        <v>100</v>
      </c>
      <c r="M44" s="57"/>
      <c r="R44" s="49"/>
    </row>
    <row r="45" spans="2:18" ht="15" hidden="1" customHeight="1" x14ac:dyDescent="0.25">
      <c r="B45" s="49" t="s">
        <v>89</v>
      </c>
      <c r="C45" s="49">
        <f>C11/100</f>
        <v>0.22</v>
      </c>
      <c r="D45" s="49">
        <f>E11/100</f>
        <v>0.01</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0.25900000000000001</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0.03</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0.01</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0.25900000000000001</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0.03</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0.01</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0.25900000000000001</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0.03</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0.01</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0.25900000000000001</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0.03</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0.01</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Clinton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Entry'!F6</f>
        <v>123</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123</v>
      </c>
      <c r="P7" s="42">
        <f t="shared" ref="P7:P15" si="4">C7</f>
        <v>1</v>
      </c>
      <c r="Q7" s="42">
        <f>C6-C7</f>
        <v>6283</v>
      </c>
      <c r="R7" s="42">
        <f t="shared" ref="R7:R15" si="5">SUM(N7:Q7)</f>
        <v>6407</v>
      </c>
      <c r="S7" s="30">
        <f t="shared" ref="S7:S15" si="6">R7*((((N7*Q7)-(O7*P7))^2))</f>
        <v>96931503</v>
      </c>
      <c r="T7" s="30">
        <f t="shared" ref="T7:T15" si="7">(N7+O7)*(P7+Q7)*(N7+P7)*(O7+Q7)</f>
        <v>4951402392</v>
      </c>
      <c r="U7" s="31">
        <f t="shared" ref="U7:U15" si="8">IF((S7&gt;0),S7/T7,"- -")</f>
        <v>1.9576575548901579E-2</v>
      </c>
    </row>
    <row r="8" spans="2:21" ht="18" customHeight="1" x14ac:dyDescent="0.25">
      <c r="B8" s="32" t="str">
        <f>'Data Entry'!A8</f>
        <v>3. Refer to Juvenile Court</v>
      </c>
      <c r="C8" s="33">
        <f>'Data Entry'!C8</f>
        <v>55</v>
      </c>
      <c r="D8" s="34">
        <f>IF((AND(C67&gt;0,C8&gt;0)),(C8/C67),0)</f>
        <v>5500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55</v>
      </c>
      <c r="Q8" s="42">
        <f>(C$67*L67)-C8</f>
        <v>-54</v>
      </c>
      <c r="R8" s="42">
        <f t="shared" si="5"/>
        <v>1.0499999999999972</v>
      </c>
      <c r="S8" s="30">
        <f t="shared" si="6"/>
        <v>7.9406249999999785</v>
      </c>
      <c r="T8" s="30">
        <f t="shared" si="7"/>
        <v>-148.36250000000001</v>
      </c>
      <c r="U8" s="31">
        <f t="shared" si="8"/>
        <v>-5.3521779425393733E-2</v>
      </c>
    </row>
    <row r="9" spans="2:21" ht="18" customHeight="1" x14ac:dyDescent="0.25">
      <c r="B9" s="32" t="str">
        <f>'Data Entry'!A9</f>
        <v xml:space="preserve">4. Cases Diverted </v>
      </c>
      <c r="C9" s="33">
        <f>'Data Entry'!C9</f>
        <v>4</v>
      </c>
      <c r="D9" s="34">
        <f>IF((AND(C68&gt;0,C9&gt;0)),((C9/C68)),0)</f>
        <v>7.2727272727272725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51.000000000000007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9.0909090909090899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50.000000000000007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22</v>
      </c>
      <c r="D11" s="34">
        <f>IF(((AND(C68&gt;0,C11&gt;0))),(C11/(C68)),0)</f>
        <v>40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33.000000000000007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68.181818181818187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7</v>
      </c>
      <c r="R12" s="42">
        <f t="shared" si="5"/>
        <v>22</v>
      </c>
      <c r="S12" s="30">
        <f t="shared" si="6"/>
        <v>0</v>
      </c>
      <c r="T12" s="30">
        <f t="shared" si="7"/>
        <v>0</v>
      </c>
      <c r="U12" s="31" t="str">
        <f t="shared" si="8"/>
        <v>- -</v>
      </c>
    </row>
    <row r="13" spans="2:21" ht="18" customHeight="1" x14ac:dyDescent="0.25">
      <c r="B13" s="32" t="str">
        <f>'Data Entry'!A13</f>
        <v>8. Cases Resulting in Probation Placement</v>
      </c>
      <c r="C13" s="33">
        <f>'Data Entry'!C13</f>
        <v>40</v>
      </c>
      <c r="D13" s="34">
        <f>IF(((AND(C70&gt;0,C13&gt;0))),(C13/(C70)),0)</f>
        <v>266.66666666666669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-25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9</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0.123</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v>
      </c>
      <c r="E44" s="56">
        <f>MAX(C44:D44,0)</f>
        <v>0.55000000000000004</v>
      </c>
      <c r="G44" s="1" t="str">
        <f>B44</f>
        <v>per 100 referrals</v>
      </c>
      <c r="L44" s="57">
        <v>100</v>
      </c>
      <c r="M44" s="57"/>
      <c r="R44" s="49"/>
    </row>
    <row r="45" spans="2:18" ht="15" hidden="1" customHeight="1" x14ac:dyDescent="0.25">
      <c r="B45" s="49" t="s">
        <v>89</v>
      </c>
      <c r="C45" s="49">
        <f>C11/100</f>
        <v>0.22</v>
      </c>
      <c r="D45" s="49">
        <f>E11/100</f>
        <v>0</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0.123</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0.123</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0.123</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0.123</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Clinton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Entry'!E6</f>
        <v>521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521</v>
      </c>
      <c r="P7" s="42">
        <f t="shared" ref="P7:P15" si="4">C7</f>
        <v>1</v>
      </c>
      <c r="Q7" s="42">
        <f>C6-C7</f>
        <v>6283</v>
      </c>
      <c r="R7" s="42">
        <f t="shared" ref="R7:R15" si="5">SUM(N7:Q7)</f>
        <v>6805</v>
      </c>
      <c r="S7" s="30">
        <f t="shared" ref="S7:S15" si="6">R7*((((N7*Q7)-(O7*P7))^2))</f>
        <v>1847156005</v>
      </c>
      <c r="T7" s="30">
        <f t="shared" ref="T7:T15" si="7">(N7+O7)*(P7+Q7)*(N7+P7)*(O7+Q7)</f>
        <v>22276051056</v>
      </c>
      <c r="U7" s="31">
        <f t="shared" ref="U7:U15" si="8">IF((S7&gt;0),S7/T7,"- -")</f>
        <v>8.2921160503556718E-2</v>
      </c>
    </row>
    <row r="8" spans="2:21" ht="18" customHeight="1" x14ac:dyDescent="0.25">
      <c r="B8" s="32" t="str">
        <f>'Data Entry'!A8</f>
        <v>3. Refer to Juvenile Court</v>
      </c>
      <c r="C8" s="33">
        <f>'Data Entry'!C8</f>
        <v>55</v>
      </c>
      <c r="D8" s="34">
        <f>IF((AND(C67&gt;0,C8&gt;0)),(C8/C67),0)</f>
        <v>5500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55</v>
      </c>
      <c r="Q8" s="42">
        <f>(C$67*L67)-C8</f>
        <v>-54</v>
      </c>
      <c r="R8" s="42">
        <f t="shared" si="5"/>
        <v>1.0499999999999972</v>
      </c>
      <c r="S8" s="30">
        <f t="shared" si="6"/>
        <v>7.9406249999999785</v>
      </c>
      <c r="T8" s="30">
        <f t="shared" si="7"/>
        <v>-148.36250000000001</v>
      </c>
      <c r="U8" s="31">
        <f t="shared" si="8"/>
        <v>-5.3521779425393733E-2</v>
      </c>
    </row>
    <row r="9" spans="2:21" ht="18" customHeight="1" x14ac:dyDescent="0.25">
      <c r="B9" s="32" t="str">
        <f>'Data Entry'!A9</f>
        <v xml:space="preserve">4. Cases Diverted </v>
      </c>
      <c r="C9" s="33">
        <f>'Data Entry'!C9</f>
        <v>4</v>
      </c>
      <c r="D9" s="34">
        <f>IF((AND(C68&gt;0,C9&gt;0)),((C9/C68)),0)</f>
        <v>7.2727272727272725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51.000000000000007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9.0909090909090899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50.000000000000007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22</v>
      </c>
      <c r="D11" s="34">
        <f>IF(((AND(C68&gt;0,C11&gt;0))),(C11/(C68)),0)</f>
        <v>40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33.000000000000007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68.181818181818187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7</v>
      </c>
      <c r="R12" s="42">
        <f t="shared" si="5"/>
        <v>22</v>
      </c>
      <c r="S12" s="30">
        <f t="shared" si="6"/>
        <v>0</v>
      </c>
      <c r="T12" s="30">
        <f t="shared" si="7"/>
        <v>0</v>
      </c>
      <c r="U12" s="31" t="str">
        <f t="shared" si="8"/>
        <v>- -</v>
      </c>
    </row>
    <row r="13" spans="2:21" ht="18" customHeight="1" x14ac:dyDescent="0.25">
      <c r="B13" s="32" t="str">
        <f>'Data Entry'!A13</f>
        <v>8. Cases Resulting in Probation Placement</v>
      </c>
      <c r="C13" s="33">
        <f>'Data Entry'!C13</f>
        <v>40</v>
      </c>
      <c r="D13" s="34">
        <f>IF(((AND(C70&gt;0,C13&gt;0))),(C13/(C70)),0)</f>
        <v>266.66666666666669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-25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9</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0.52100000000000002</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v>
      </c>
      <c r="E44" s="56">
        <f>MAX(C44:D44,0)</f>
        <v>0.55000000000000004</v>
      </c>
      <c r="G44" s="1" t="str">
        <f>B44</f>
        <v>per 100 referrals</v>
      </c>
      <c r="L44" s="57">
        <v>100</v>
      </c>
      <c r="M44" s="57"/>
      <c r="R44" s="49"/>
    </row>
    <row r="45" spans="2:18" ht="15" hidden="1" customHeight="1" x14ac:dyDescent="0.25">
      <c r="B45" s="49" t="s">
        <v>89</v>
      </c>
      <c r="C45" s="49">
        <f>C11/100</f>
        <v>0.22</v>
      </c>
      <c r="D45" s="49">
        <f>E11/100</f>
        <v>0</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0.52100000000000002</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0.52100000000000002</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0.52100000000000002</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0.52100000000000002</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Clinton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6283</v>
      </c>
      <c r="R7" s="42">
        <f t="shared" ref="R7:R15" si="5">SUM(N7:Q7)</f>
        <v>6284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55</v>
      </c>
      <c r="D8" s="34">
        <f>IF((AND(C67&gt;0,C8&gt;0)),(C8/C67),0)</f>
        <v>5500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55</v>
      </c>
      <c r="Q8" s="42">
        <f>(C$67*L67)-C8</f>
        <v>-54</v>
      </c>
      <c r="R8" s="42">
        <f t="shared" si="5"/>
        <v>1.0499999999999972</v>
      </c>
      <c r="S8" s="30">
        <f t="shared" si="6"/>
        <v>7.9406249999999785</v>
      </c>
      <c r="T8" s="30">
        <f t="shared" si="7"/>
        <v>-148.36250000000001</v>
      </c>
      <c r="U8" s="31">
        <f t="shared" si="8"/>
        <v>-5.3521779425393733E-2</v>
      </c>
    </row>
    <row r="9" spans="2:21" ht="18" customHeight="1" x14ac:dyDescent="0.25">
      <c r="B9" s="32" t="str">
        <f>'Data Entry'!A9</f>
        <v xml:space="preserve">4. Cases Diverted </v>
      </c>
      <c r="C9" s="33">
        <f>'Data Entry'!C9</f>
        <v>4</v>
      </c>
      <c r="D9" s="34">
        <f>IF((AND(C68&gt;0,C9&gt;0)),((C9/C68)),0)</f>
        <v>7.2727272727272725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51.000000000000007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9.0909090909090899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50.000000000000007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22</v>
      </c>
      <c r="D11" s="34">
        <f>IF(((AND(C68&gt;0,C11&gt;0))),(C11/(C68)),0)</f>
        <v>40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33.000000000000007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68.181818181818187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7</v>
      </c>
      <c r="R12" s="42">
        <f t="shared" si="5"/>
        <v>22</v>
      </c>
      <c r="S12" s="30">
        <f t="shared" si="6"/>
        <v>0</v>
      </c>
      <c r="T12" s="30">
        <f t="shared" si="7"/>
        <v>0</v>
      </c>
      <c r="U12" s="31" t="str">
        <f t="shared" si="8"/>
        <v>- -</v>
      </c>
    </row>
    <row r="13" spans="2:21" ht="18" customHeight="1" x14ac:dyDescent="0.25">
      <c r="B13" s="32" t="str">
        <f>'Data Entry'!A13</f>
        <v>8. Cases Resulting in Probation Placement</v>
      </c>
      <c r="C13" s="33">
        <f>'Data Entry'!C13</f>
        <v>40</v>
      </c>
      <c r="D13" s="34">
        <f>IF(((AND(C70&gt;0,C13&gt;0))),(C13/(C70)),0)</f>
        <v>266.66666666666669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-25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9</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0</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v>
      </c>
      <c r="E44" s="56">
        <f>MAX(C44:D44,0)</f>
        <v>0.55000000000000004</v>
      </c>
      <c r="G44" s="1" t="str">
        <f>B44</f>
        <v>per 100 referrals</v>
      </c>
      <c r="L44" s="57">
        <v>100</v>
      </c>
      <c r="M44" s="57"/>
      <c r="R44" s="49"/>
    </row>
    <row r="45" spans="2:18" ht="15" hidden="1" customHeight="1" x14ac:dyDescent="0.25">
      <c r="B45" s="49" t="s">
        <v>89</v>
      </c>
      <c r="C45" s="49">
        <f>C11/100</f>
        <v>0.22</v>
      </c>
      <c r="D45" s="49">
        <f>E11/100</f>
        <v>0</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0</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0</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0</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0</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Clinton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6284</v>
      </c>
      <c r="D6" s="34"/>
      <c r="E6" s="33">
        <f>'Data Entry'!H6</f>
        <v>28</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0.15913430935709741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28</v>
      </c>
      <c r="P7" s="42">
        <f t="shared" ref="P7:P15" si="4">C7</f>
        <v>1</v>
      </c>
      <c r="Q7" s="42">
        <f>C6-C7</f>
        <v>6283</v>
      </c>
      <c r="R7" s="42">
        <f t="shared" ref="R7:R15" si="5">SUM(N7:Q7)</f>
        <v>6312</v>
      </c>
      <c r="S7" s="30">
        <f t="shared" ref="S7:S15" si="6">R7*((((N7*Q7)-(O7*P7))^2))</f>
        <v>4948608</v>
      </c>
      <c r="T7" s="30">
        <f t="shared" ref="T7:T15" si="7">(N7+O7)*(P7+Q7)*(N7+P7)*(O7+Q7)</f>
        <v>1110433072</v>
      </c>
      <c r="U7" s="31">
        <f t="shared" ref="U7:U15" si="8">IF((S7&gt;0),S7/T7,"- -")</f>
        <v>4.4564666928436011E-3</v>
      </c>
    </row>
    <row r="8" spans="2:21" ht="18" customHeight="1" x14ac:dyDescent="0.25">
      <c r="B8" s="32" t="str">
        <f>'Data Entry'!A8</f>
        <v>3. Refer to Juvenile Court</v>
      </c>
      <c r="C8" s="33">
        <f>'Data Entry'!C8</f>
        <v>55</v>
      </c>
      <c r="D8" s="34">
        <f>IF((AND(C67&gt;0,C8&gt;0)),(C8/C67),0)</f>
        <v>5500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55</v>
      </c>
      <c r="Q8" s="42">
        <f>(C$67*L67)-C8</f>
        <v>-54</v>
      </c>
      <c r="R8" s="42">
        <f t="shared" si="5"/>
        <v>1.0499999999999972</v>
      </c>
      <c r="S8" s="30">
        <f t="shared" si="6"/>
        <v>7.9406249999999785</v>
      </c>
      <c r="T8" s="30">
        <f t="shared" si="7"/>
        <v>-148.36250000000001</v>
      </c>
      <c r="U8" s="31">
        <f t="shared" si="8"/>
        <v>-5.3521779425393733E-2</v>
      </c>
    </row>
    <row r="9" spans="2:21" ht="18" customHeight="1" x14ac:dyDescent="0.25">
      <c r="B9" s="32" t="str">
        <f>'Data Entry'!A9</f>
        <v xml:space="preserve">4. Cases Diverted </v>
      </c>
      <c r="C9" s="33">
        <f>'Data Entry'!C9</f>
        <v>4</v>
      </c>
      <c r="D9" s="34">
        <f>IF((AND(C68&gt;0,C9&gt;0)),((C9/C68)),0)</f>
        <v>7.2727272727272725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51.000000000000007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9.0909090909090899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50.000000000000007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22</v>
      </c>
      <c r="D11" s="34">
        <f>IF(((AND(C68&gt;0,C11&gt;0))),(C11/(C68)),0)</f>
        <v>40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33.000000000000007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68.181818181818187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7</v>
      </c>
      <c r="R12" s="42">
        <f t="shared" si="5"/>
        <v>22</v>
      </c>
      <c r="S12" s="30">
        <f t="shared" si="6"/>
        <v>0</v>
      </c>
      <c r="T12" s="30">
        <f t="shared" si="7"/>
        <v>0</v>
      </c>
      <c r="U12" s="31" t="str">
        <f t="shared" si="8"/>
        <v>- -</v>
      </c>
    </row>
    <row r="13" spans="2:21" ht="18" customHeight="1" x14ac:dyDescent="0.25">
      <c r="B13" s="32" t="str">
        <f>'Data Entry'!A13</f>
        <v>8. Cases Resulting in Probation Placement</v>
      </c>
      <c r="C13" s="33">
        <f>'Data Entry'!C13</f>
        <v>40</v>
      </c>
      <c r="D13" s="34">
        <f>IF(((AND(C70&gt;0,C13&gt;0))),(C13/(C70)),0)</f>
        <v>266.66666666666669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-25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40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9</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6.2839999999999998</v>
      </c>
      <c r="D42" s="56">
        <f>E6/1000</f>
        <v>2.8000000000000001E-2</v>
      </c>
      <c r="E42" s="56">
        <f>MAX(C42:D42)</f>
        <v>6.2839999999999998</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0.55000000000000004</v>
      </c>
      <c r="D44" s="56">
        <f>E8/100</f>
        <v>0</v>
      </c>
      <c r="E44" s="56">
        <f>MAX(C44:D44,0)</f>
        <v>0.55000000000000004</v>
      </c>
      <c r="G44" s="1" t="str">
        <f>B44</f>
        <v>per 100 referrals</v>
      </c>
      <c r="L44" s="57">
        <v>100</v>
      </c>
      <c r="M44" s="57"/>
      <c r="R44" s="49"/>
    </row>
    <row r="45" spans="2:18" ht="15" hidden="1" customHeight="1" x14ac:dyDescent="0.25">
      <c r="B45" s="49" t="s">
        <v>89</v>
      </c>
      <c r="C45" s="49">
        <f>C11/100</f>
        <v>0.22</v>
      </c>
      <c r="D45" s="49">
        <f>E11/100</f>
        <v>0</v>
      </c>
      <c r="E45" s="56">
        <f>MAX(C45:D45,0)</f>
        <v>0.22</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6.2839999999999998</v>
      </c>
      <c r="D48" s="56">
        <f>D42</f>
        <v>2.8000000000000001E-2</v>
      </c>
      <c r="E48" s="56">
        <f>MAX(C48:D48)</f>
        <v>6.2839999999999998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6.2839999999999998</v>
      </c>
      <c r="D54" s="56">
        <f>D48</f>
        <v>2.8000000000000001E-2</v>
      </c>
      <c r="E54" s="56">
        <f>MAX(C54:D54)</f>
        <v>6.2839999999999998</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6.2839999999999998</v>
      </c>
      <c r="D60" s="56">
        <f>D54</f>
        <v>2.8000000000000001E-2</v>
      </c>
      <c r="E60" s="56">
        <f>MAX(C60:D60)</f>
        <v>6.2839999999999998</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6.2839999999999998</v>
      </c>
      <c r="D66" s="56">
        <f>D60</f>
        <v>2.8000000000000001E-2</v>
      </c>
      <c r="E66" s="56">
        <f>MAX(C66:D66)</f>
        <v>6.2839999999999998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0.55000000000000004</v>
      </c>
      <c r="D68" s="49">
        <f t="shared" si="12"/>
        <v>0</v>
      </c>
      <c r="E68" s="49">
        <f>MAX(C68:D68)</f>
        <v>0.55000000000000004</v>
      </c>
      <c r="G68" s="1" t="str">
        <f>G62</f>
        <v>per 100 referrals</v>
      </c>
      <c r="L68" s="58">
        <f>IF(($E62&gt;0),L62,L61)</f>
        <v>100</v>
      </c>
      <c r="M68" s="58">
        <f>IF((B68=G68),1,2)</f>
        <v>1</v>
      </c>
    </row>
    <row r="69" spans="2:13" ht="15" hidden="1" customHeight="1" x14ac:dyDescent="0.25">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U47JMPN4QEAR-1806752177-30162</_dlc_DocId>
    <_dlc_DocIdUrl xmlns="ac3811b5-0f3e-49e2-ba69-f2ffa0c782af">
      <Url>https://michiganphi.sharepoint.com/sites/CMDMC/_layouts/15/DocIdRedir.aspx?ID=U47JMPN4QEAR-1806752177-30162</Url>
      <Description>U47JMPN4QEAR-1806752177-30162</Description>
    </_dlc_DocIdUrl>
  </documentManagement>
</p:properties>
</file>

<file path=customXml/itemProps1.xml><?xml version="1.0" encoding="utf-8"?>
<ds:datastoreItem xmlns:ds="http://schemas.openxmlformats.org/officeDocument/2006/customXml" ds:itemID="{424EF979-C516-44CC-9E60-E941BCE8CD70}"/>
</file>

<file path=customXml/itemProps2.xml><?xml version="1.0" encoding="utf-8"?>
<ds:datastoreItem xmlns:ds="http://schemas.openxmlformats.org/officeDocument/2006/customXml" ds:itemID="{75EFAF4C-4224-4B90-9597-1C633F79E021}"/>
</file>

<file path=customXml/itemProps3.xml><?xml version="1.0" encoding="utf-8"?>
<ds:datastoreItem xmlns:ds="http://schemas.openxmlformats.org/officeDocument/2006/customXml" ds:itemID="{69483256-8235-4B37-A34B-F99B2636CCB5}"/>
</file>

<file path=customXml/itemProps4.xml><?xml version="1.0" encoding="utf-8"?>
<ds:datastoreItem xmlns:ds="http://schemas.openxmlformats.org/officeDocument/2006/customXml" ds:itemID="{C5F023DF-3634-442B-B255-C987F58AB9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42ece774-e779-499b-a11a-545f8b3a176b</vt:lpwstr>
  </property>
</Properties>
</file>