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11" documentId="8_{A1D532F0-7C6C-4394-A6E5-64A2DE2B13FA}" xr6:coauthVersionLast="47" xr6:coauthVersionMax="47" xr10:uidLastSave="{1E084B7D-79CF-4B92-99B0-AB5611BF413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5"/>
  <c r="M66" i="5"/>
  <c r="F27" i="4"/>
  <c r="M66" i="4"/>
  <c r="F27" i="2"/>
  <c r="M66" i="2"/>
  <c r="F27" i="3"/>
  <c r="M66" i="3"/>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L56" i="5"/>
  <c r="E49" i="5"/>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L58" i="8" s="1"/>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D55" i="5"/>
  <c r="C55" i="5"/>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E55" i="5"/>
  <c r="D61" i="5" s="1"/>
  <c r="B56" i="8"/>
  <c r="L56" i="8"/>
  <c r="C57" i="8"/>
  <c r="D64" i="5"/>
  <c r="C64" i="5"/>
  <c r="B57" i="8"/>
  <c r="B64" i="8" s="1"/>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D64" i="3"/>
  <c r="C64" i="6"/>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57" i="8" l="1"/>
  <c r="C63" i="3"/>
  <c r="C64" i="8"/>
  <c r="E64" i="8" s="1"/>
  <c r="B61" i="5"/>
  <c r="L61" i="5"/>
  <c r="C61" i="5"/>
  <c r="E61" i="5" s="1"/>
  <c r="D67" i="5" s="1"/>
  <c r="F8" i="5" s="1"/>
  <c r="B63" i="8"/>
  <c r="E64" i="5"/>
  <c r="Q8" i="13"/>
  <c r="I7" i="9"/>
  <c r="B63" i="3"/>
  <c r="E64" i="6"/>
  <c r="B70" i="6" s="1"/>
  <c r="M70" i="6" s="1"/>
  <c r="Z8" i="13"/>
  <c r="R7" i="9"/>
  <c r="D63" i="3"/>
  <c r="E64" i="3"/>
  <c r="C70" i="3" s="1"/>
  <c r="D14" i="3" s="1"/>
  <c r="E63" i="7"/>
  <c r="B69" i="7" s="1"/>
  <c r="F32" i="7" s="1"/>
  <c r="C63" i="6"/>
  <c r="D63" i="6"/>
  <c r="L63" i="6"/>
  <c r="L68" i="4"/>
  <c r="Q11" i="4"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L70" i="4"/>
  <c r="D70" i="4"/>
  <c r="F14" i="4" s="1"/>
  <c r="D68" i="3"/>
  <c r="F9" i="3" s="1"/>
  <c r="C63" i="8"/>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B67" i="5" l="1"/>
  <c r="F28" i="5" s="1"/>
  <c r="E63" i="3"/>
  <c r="C69" i="3" s="1"/>
  <c r="D15" i="3" s="1"/>
  <c r="C67" i="5"/>
  <c r="E67" i="5" s="1"/>
  <c r="L70" i="5"/>
  <c r="B70" i="5"/>
  <c r="F33" i="5" s="1"/>
  <c r="L70" i="8"/>
  <c r="L70" i="3"/>
  <c r="Q13" i="3" s="1"/>
  <c r="C70" i="5"/>
  <c r="D13" i="5" s="1"/>
  <c r="L67" i="5"/>
  <c r="O8" i="5" s="1"/>
  <c r="C69" i="7"/>
  <c r="D12" i="7" s="1"/>
  <c r="L70" i="6"/>
  <c r="D70" i="6"/>
  <c r="B70" i="3"/>
  <c r="M70" i="3" s="1"/>
  <c r="D70" i="5"/>
  <c r="F14" i="5" s="1"/>
  <c r="L69" i="7"/>
  <c r="C70" i="6"/>
  <c r="D13" i="6" s="1"/>
  <c r="D70" i="3"/>
  <c r="F13" i="3" s="1"/>
  <c r="D69" i="7"/>
  <c r="F15" i="7" s="1"/>
  <c r="E63" i="6"/>
  <c r="L69" i="6" s="1"/>
  <c r="Q10" i="3"/>
  <c r="Q10" i="4"/>
  <c r="Q9" i="4"/>
  <c r="O11" i="4"/>
  <c r="R11" i="4" s="1"/>
  <c r="S11" i="4" s="1"/>
  <c r="D8" i="5"/>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C70" i="8"/>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Q13" i="8" l="1"/>
  <c r="Q14" i="3"/>
  <c r="Q14" i="5"/>
  <c r="D14" i="5"/>
  <c r="Q13" i="5"/>
  <c r="E70" i="5"/>
  <c r="D69" i="3"/>
  <c r="E69" i="3" s="1"/>
  <c r="L69" i="3"/>
  <c r="Q12" i="3" s="1"/>
  <c r="B69" i="3"/>
  <c r="M69" i="3" s="1"/>
  <c r="E69" i="7"/>
  <c r="Q8" i="5"/>
  <c r="R8" i="5" s="1"/>
  <c r="S8" i="5" s="1"/>
  <c r="F34" i="5"/>
  <c r="M70" i="5"/>
  <c r="F34" i="3"/>
  <c r="O14" i="6"/>
  <c r="F33" i="3"/>
  <c r="D15" i="7"/>
  <c r="O12" i="7"/>
  <c r="O14" i="5"/>
  <c r="R14" i="5" s="1"/>
  <c r="S14" i="5" s="1"/>
  <c r="U14" i="5" s="1"/>
  <c r="J14" i="5" s="1"/>
  <c r="M14" i="5" s="1"/>
  <c r="Q12" i="7"/>
  <c r="O13" i="6"/>
  <c r="F13" i="6"/>
  <c r="F14" i="6"/>
  <c r="F13" i="5"/>
  <c r="B69" i="6"/>
  <c r="M69" i="6" s="1"/>
  <c r="O15" i="7"/>
  <c r="E70" i="3"/>
  <c r="O13" i="3"/>
  <c r="T13" i="3" s="1"/>
  <c r="F14" i="3"/>
  <c r="O13" i="5"/>
  <c r="T13" i="5" s="1"/>
  <c r="Q13" i="6"/>
  <c r="Q14" i="6"/>
  <c r="E70" i="6"/>
  <c r="D14" i="6"/>
  <c r="Q15" i="7"/>
  <c r="C69" i="6"/>
  <c r="D12" i="6" s="1"/>
  <c r="F12" i="7"/>
  <c r="O14" i="3"/>
  <c r="K14" i="3" s="1"/>
  <c r="D69" i="6"/>
  <c r="F12" i="6" s="1"/>
  <c r="T10" i="3"/>
  <c r="K10" i="4"/>
  <c r="F8" i="7"/>
  <c r="T9" i="4"/>
  <c r="T11" i="4"/>
  <c r="K11" i="4"/>
  <c r="R10" i="4"/>
  <c r="S10" i="4" s="1"/>
  <c r="U10" i="4" s="1"/>
  <c r="J10" i="4" s="1"/>
  <c r="M10" i="4" s="1"/>
  <c r="G10" i="4" s="1"/>
  <c r="G11" i="16" s="1"/>
  <c r="T8" i="3"/>
  <c r="U8" i="3" s="1"/>
  <c r="J8" i="3" s="1"/>
  <c r="T13" i="4"/>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Q15" i="3"/>
  <c r="K14" i="5"/>
  <c r="T8" i="5"/>
  <c r="U8" i="5" s="1"/>
  <c r="J8" i="5" s="1"/>
  <c r="O15" i="3"/>
  <c r="K15" i="3" s="1"/>
  <c r="O12" i="3"/>
  <c r="R12" i="3" s="1"/>
  <c r="S12" i="3" s="1"/>
  <c r="U12" i="3" s="1"/>
  <c r="J12" i="3" s="1"/>
  <c r="F12" i="3"/>
  <c r="R13" i="6"/>
  <c r="S13" i="6" s="1"/>
  <c r="U13" i="6" s="1"/>
  <c r="J13" i="6" s="1"/>
  <c r="M13" i="6" s="1"/>
  <c r="G13" i="6" s="1"/>
  <c r="G13" i="9" s="1"/>
  <c r="T14" i="5"/>
  <c r="F32" i="6"/>
  <c r="K14" i="6"/>
  <c r="T12" i="7"/>
  <c r="R15" i="7"/>
  <c r="S15" i="7" s="1"/>
  <c r="U15" i="7" s="1"/>
  <c r="J15" i="7" s="1"/>
  <c r="M15" i="7" s="1"/>
  <c r="T14" i="3"/>
  <c r="K13" i="5"/>
  <c r="K12" i="7"/>
  <c r="Q12" i="6"/>
  <c r="Q15" i="6"/>
  <c r="K13" i="3"/>
  <c r="R12" i="7"/>
  <c r="S12" i="7" s="1"/>
  <c r="U12" i="7" s="1"/>
  <c r="J12" i="7" s="1"/>
  <c r="R13" i="3"/>
  <c r="S13" i="3" s="1"/>
  <c r="U13" i="3" s="1"/>
  <c r="J13" i="3" s="1"/>
  <c r="T15" i="7"/>
  <c r="K13" i="6"/>
  <c r="T13" i="6"/>
  <c r="F35" i="6"/>
  <c r="T14" i="6"/>
  <c r="R14" i="6"/>
  <c r="S14" i="6" s="1"/>
  <c r="U14" i="6" s="1"/>
  <c r="J14" i="6" s="1"/>
  <c r="M14" i="6" s="1"/>
  <c r="G14" i="6" s="1"/>
  <c r="M15" i="13" s="1"/>
  <c r="O15" i="6"/>
  <c r="R14" i="3"/>
  <c r="S14" i="3" s="1"/>
  <c r="U14" i="3" s="1"/>
  <c r="J14" i="3" s="1"/>
  <c r="M14" i="3" s="1"/>
  <c r="G14" i="3" s="1"/>
  <c r="I15" i="16" s="1"/>
  <c r="R13" i="5"/>
  <c r="S13" i="5" s="1"/>
  <c r="U13" i="5" s="1"/>
  <c r="J13" i="5" s="1"/>
  <c r="M13" i="5" s="1"/>
  <c r="R14" i="8"/>
  <c r="S14" i="8" s="1"/>
  <c r="K15" i="7"/>
  <c r="O12" i="6"/>
  <c r="T13" i="8"/>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Q14" i="13"/>
  <c r="N30" i="5"/>
  <c r="L14" i="5"/>
  <c r="Q15" i="16" s="1"/>
  <c r="I13" i="9"/>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R15" i="3" l="1"/>
  <c r="S15" i="3" s="1"/>
  <c r="U15" i="3" s="1"/>
  <c r="J15" i="3" s="1"/>
  <c r="M15" i="3" s="1"/>
  <c r="G15" i="3" s="1"/>
  <c r="I16" i="16" s="1"/>
  <c r="T15" i="3"/>
  <c r="M14" i="13"/>
  <c r="K12" i="3"/>
  <c r="T12" i="3"/>
  <c r="L13" i="6"/>
  <c r="R14" i="16" s="1"/>
  <c r="L13" i="5"/>
  <c r="Q14" i="16" s="1"/>
  <c r="K12" i="6"/>
  <c r="T12" i="6"/>
  <c r="L15" i="7"/>
  <c r="S16" i="16" s="1"/>
  <c r="K15" i="6"/>
  <c r="L13" i="3"/>
  <c r="P14" i="16" s="1"/>
  <c r="L12" i="7"/>
  <c r="S13" i="16" s="1"/>
  <c r="R12" i="6"/>
  <c r="S12" i="6" s="1"/>
  <c r="U12" i="6" s="1"/>
  <c r="J12" i="6" s="1"/>
  <c r="M13" i="3"/>
  <c r="G13" i="3" s="1"/>
  <c r="E13" i="9" s="1"/>
  <c r="M12" i="7"/>
  <c r="I15" i="13"/>
  <c r="L14" i="3"/>
  <c r="P15" i="16" s="1"/>
  <c r="R15" i="6"/>
  <c r="S15" i="6" s="1"/>
  <c r="U15" i="6" s="1"/>
  <c r="J15" i="6" s="1"/>
  <c r="M15" i="6" s="1"/>
  <c r="G15" i="6" s="1"/>
  <c r="T15" i="6"/>
  <c r="E14" i="9"/>
  <c r="N30" i="3"/>
  <c r="U14" i="8"/>
  <c r="J14" i="8" s="1"/>
  <c r="N30" i="8"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T11" i="7"/>
  <c r="T10" i="7"/>
  <c r="L8" i="2"/>
  <c r="N9" i="16" s="1"/>
  <c r="K13" i="2"/>
  <c r="R15" i="5"/>
  <c r="S15" i="5" s="1"/>
  <c r="U15" i="5" s="1"/>
  <c r="J15" i="5" s="1"/>
  <c r="M15" i="5" s="1"/>
  <c r="K11" i="7"/>
  <c r="K15" i="8"/>
  <c r="T9" i="7"/>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L15" i="3"/>
  <c r="P16" i="16" s="1"/>
  <c r="L13" i="7"/>
  <c r="S14" i="16" s="1"/>
  <c r="M9" i="3"/>
  <c r="G9" i="3" s="1"/>
  <c r="I10" i="13" s="1"/>
  <c r="G12" i="13"/>
  <c r="G12" i="16"/>
  <c r="N9" i="9"/>
  <c r="P10" i="16"/>
  <c r="M14" i="7"/>
  <c r="N30" i="7"/>
  <c r="L14" i="7"/>
  <c r="S15" i="16" s="1"/>
  <c r="L8" i="7"/>
  <c r="S9" i="16" s="1"/>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X14" i="13" l="1"/>
  <c r="W14" i="13"/>
  <c r="P13" i="9"/>
  <c r="U11" i="7"/>
  <c r="J11" i="7" s="1"/>
  <c r="U10" i="7"/>
  <c r="J10" i="7" s="1"/>
  <c r="L10" i="7" s="1"/>
  <c r="S11" i="16" s="1"/>
  <c r="O13" i="9"/>
  <c r="Y16" i="13"/>
  <c r="Q15" i="9"/>
  <c r="L15" i="6"/>
  <c r="R16" i="16" s="1"/>
  <c r="N13" i="9"/>
  <c r="L12" i="6"/>
  <c r="R13" i="16" s="1"/>
  <c r="Y13" i="13"/>
  <c r="V14" i="13"/>
  <c r="I14" i="16"/>
  <c r="I14" i="13"/>
  <c r="M12" i="6"/>
  <c r="G12" i="6" s="1"/>
  <c r="M13" i="13" s="1"/>
  <c r="V15" i="13"/>
  <c r="N14" i="9"/>
  <c r="L14" i="8"/>
  <c r="T15" i="16" s="1"/>
  <c r="M14" i="8"/>
  <c r="G14" i="8" s="1"/>
  <c r="K15" i="16" s="1"/>
  <c r="L8" i="6"/>
  <c r="R9" i="16" s="1"/>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P12" i="9"/>
  <c r="X16" i="13"/>
  <c r="R14" i="9"/>
  <c r="G12" i="9"/>
  <c r="Z15" i="13"/>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<sst xmlns="http://schemas.openxmlformats.org/spreadsheetml/2006/main" count="654" uniqueCount="141">
  <si>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</si>
  <si>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</si>
  <si>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</si>
  <si>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</si>
  <si>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</si>
  <si>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</si>
  <si>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</si>
  <si>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</si>
  <si>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</si>
  <si>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</si>
  <si>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</si>
  <si>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</si>
  <si>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</si>
  <si>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</si>
  <si>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</si>
  <si>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</si>
  <si>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</si>
  <si>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</si>
  <si>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</si>
  <si>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</si>
  <si>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</si>
  <si>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</si>
  <si>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</si>
  <si>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</si>
  <si>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</si>
  <si>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</si>
  <si>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</si>
  <si>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</si>
  <si>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</si>
  <si>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</si>
  <si>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</si>
  <si>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</si>
  <si>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</si>
  <si>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</si>
  <si>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</si>
  <si>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</si>
  <si>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</si>
  <si>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</si>
  <si>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</si>
  <si>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</si>
  <si>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</si>
  <si>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</si>
  <si>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</si>
  <si>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</si>
  <si>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</si>
  <si>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</si>
  <si>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</si>
  <si>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</si>
  <si>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</si>
  <si>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</si>
  <si>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</si>
  <si>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</si>
  <si>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</si>
  <si>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</si>
  <si>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</si>
  <si>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</si>
  <si>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</si>
  <si>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</si>
  <si>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</si>
  <si>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</si>
  <si>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</si>
  <si>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</si>
  <si>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</si>
  <si>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</si>
  <si>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</si>
  <si>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</si>
  <si>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</si>
  <si>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</si>
  <si>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</si>
  <si>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</si>
  <si>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</si>
  <si>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</si>
  <si>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</si>
  <si>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</si>
  <si>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</si>
  <si>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</si>
  <si>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</si>
  <si>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</si>
  <si>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</si>
  <si>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</si>
  <si>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</si>
  <si>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</si>
  <si>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</si>
  <si>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</si>
  <si>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</si>
  <si>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</si>
  <si>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</si>
  <si>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</si>
  <si>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</si>
  <si>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</si>
  <si>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</si>
  <si>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</si>
  <si>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</si>
  <si>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</si>
  <si>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</si>
  <si>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</si>
  <si>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</si>
  <si>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</si>
  <si>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</si>
  <si>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</si>
  <si>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</si>
  <si>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</si>
  <si>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</si>
  <si>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</si>
  <si>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</si>
  <si>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</si>
  <si>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</si>
  <si>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</si>
  <si>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</si>
  <si>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</si>
  <si>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</si>
  <si>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</si>
  <si>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</si>
  <si>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</si>
  <si>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</si>
  <si>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</si>
  <si>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</si>
  <si>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</si>
  <si>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</si>
  <si>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</si>
  <si>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</si>
  <si>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</si>
  <si>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</si>
  <si>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</si>
  <si>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</si>
  <si>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</si>
  <si>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</si>
  <si>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</si>
  <si>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</si>
  <si>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</si>
  <si>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</si>
  <si>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</si>
  <si>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</si>
  <si>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</si>
  <si>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</si>
  <si>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</si>
  <si>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Clare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</si>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</sst>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Clare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N=10</c:v>
                </c:pt>
                <c:pt idx="3">
                  <c:v>Petitions, total N=46</c:v>
                </c:pt>
                <c:pt idx="4">
                  <c:v>Detentions, total N=2</c:v>
                </c:pt>
                <c:pt idx="5">
                  <c:v>Referrals, total N=71</c:v>
                </c:pt>
                <c:pt idx="6">
                  <c:v>Arrests, total N=101</c:v>
                </c:pt>
                <c:pt idx="7">
                  <c:v>Population, total N=2791</c:v>
                </c:pt>
              </c:strCache>
            </c:strRef>
          </c:cat>
          <c:val>
            <c:numRef>
              <c:f>'Stacked 100%'!$B$7:$B$14</c:f>
              <c:numCache>
                <c:formatCode>0%</c:formatCode>
                <c:ptCount val="8"/>
                <c:pt idx="0">
                  <c:v>0</c:v>
                </c:pt>
                <c:pt idx="1">
                  <c:v>0</c:v>
                </c:pt>
                <c:pt idx="2">
                  <c:v>0</c:v>
                </c:pt>
                <c:pt idx="3">
                  <c:v>0</c:v>
                </c:pt>
                <c:pt idx="4">
                  <c:v>0</c:v>
                </c:pt>
                <c:pt idx="5">
                  <c:v>0</c:v>
                </c:pt>
                <c:pt idx="6">
                  <c:v>0</c:v>
                </c:pt>
                <c:pt idx="7">
                  <c:v>2.1855965603726261E-2</c:v>
                </c:pt>
              </c:numCache>
            </c:numRef>
          </c:val>
          <c:extLst>
            <c:ext xmlns:c16="http://schemas.microsoft.com/office/drawing/2014/chart" uri="{C3380CC4-5D6E-409C-BE32-E72D297353CC}">
              <c16:uniqueId val="{00000000-0264-4BDF-A8FC-1D1BE4AD59A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N=10</c:v>
                </c:pt>
                <c:pt idx="3">
                  <c:v>Petitions, total N=46</c:v>
                </c:pt>
                <c:pt idx="4">
                  <c:v>Detentions, total N=2</c:v>
                </c:pt>
                <c:pt idx="5">
                  <c:v>Referrals, total N=71</c:v>
                </c:pt>
                <c:pt idx="6">
                  <c:v>Arrests, total N=101</c:v>
                </c:pt>
                <c:pt idx="7">
                  <c:v>Population, total N=2791</c:v>
                </c:pt>
              </c:strCache>
            </c:strRef>
          </c:cat>
          <c:val>
            <c:numRef>
              <c:f>'Stacked 100%'!$C$7:$C$14</c:f>
              <c:numCache>
                <c:formatCode>0%</c:formatCode>
                <c:ptCount val="8"/>
                <c:pt idx="0">
                  <c:v>0</c:v>
                </c:pt>
                <c:pt idx="1">
                  <c:v>0</c:v>
                </c:pt>
                <c:pt idx="2">
                  <c:v>0</c:v>
                </c:pt>
                <c:pt idx="3">
                  <c:v>0</c:v>
                </c:pt>
                <c:pt idx="4">
                  <c:v>0</c:v>
                </c:pt>
                <c:pt idx="5">
                  <c:v>0</c:v>
                </c:pt>
                <c:pt idx="6">
                  <c:v>0</c:v>
                </c:pt>
                <c:pt idx="7">
                  <c:v>3.7262629881762807E-2</c:v>
                </c:pt>
              </c:numCache>
            </c:numRef>
          </c:val>
          <c:extLst>
            <c:ext xmlns:c16="http://schemas.microsoft.com/office/drawing/2014/chart" uri="{C3380CC4-5D6E-409C-BE32-E72D297353CC}">
              <c16:uniqueId val="{00000001-0264-4BDF-A8FC-1D1BE4AD59A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N=0</c:v>
                </c:pt>
                <c:pt idx="2">
                  <c:v>Delinquent Findings, total N=10</c:v>
                </c:pt>
                <c:pt idx="3">
                  <c:v>Petitions, total N=46</c:v>
                </c:pt>
                <c:pt idx="4">
                  <c:v>Detentions, total N=2</c:v>
                </c:pt>
                <c:pt idx="5">
                  <c:v>Referrals, total N=71</c:v>
                </c:pt>
                <c:pt idx="6">
                  <c:v>Arrests, total N=101</c:v>
                </c:pt>
                <c:pt idx="7">
                  <c:v>Population, total N=2791</c:v>
                </c:pt>
              </c:strCache>
            </c:strRef>
          </c:cat>
          <c:val>
            <c:numRef>
              <c:f>'Stacked 100%'!$H$7:$H$14</c:f>
              <c:numCache>
                <c:formatCode>0%</c:formatCode>
                <c:ptCount val="8"/>
                <c:pt idx="0">
                  <c:v>0</c:v>
                </c:pt>
                <c:pt idx="1">
                  <c:v>0</c:v>
                </c:pt>
                <c:pt idx="2">
                  <c:v>0</c:v>
                </c:pt>
                <c:pt idx="3">
                  <c:v>0</c:v>
                </c:pt>
                <c:pt idx="4">
                  <c:v>0</c:v>
                </c:pt>
                <c:pt idx="5">
                  <c:v>1.9837333862328903E-4</c:v>
                </c:pt>
                <c:pt idx="6">
                  <c:v>0</c:v>
                </c:pt>
                <c:pt idx="7">
                  <c:v>3.8512488508836244E-6</c:v>
                </c:pt>
              </c:numCache>
            </c:numRef>
          </c:val>
          <c:extLst>
            <c:ext xmlns:c16="http://schemas.microsoft.com/office/drawing/2014/chart" uri="{C3380CC4-5D6E-409C-BE32-E72D297353CC}">
              <c16:uniqueId val="{00000002-0264-4BDF-A8FC-1D1BE4AD59A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N=0</c:v>
                </c:pt>
                <c:pt idx="2">
                  <c:v>Delinquent Findings, total N=10</c:v>
                </c:pt>
                <c:pt idx="3">
                  <c:v>Petitions, total N=46</c:v>
                </c:pt>
                <c:pt idx="4">
                  <c:v>Detentions, total N=2</c:v>
                </c:pt>
                <c:pt idx="5">
                  <c:v>Referrals, total N=71</c:v>
                </c:pt>
                <c:pt idx="6">
                  <c:v>Arrests, total N=101</c:v>
                </c:pt>
                <c:pt idx="7">
                  <c:v>Population, total N=2791</c:v>
                </c:pt>
              </c:strCache>
            </c:strRef>
          </c:cat>
          <c:val>
            <c:numRef>
              <c:f>'Stacked 100%'!$I$7:$I$14</c:f>
              <c:numCache>
                <c:formatCode>0%</c:formatCode>
                <c:ptCount val="8"/>
                <c:pt idx="0">
                  <c:v>1</c:v>
                </c:pt>
                <c:pt idx="1">
                  <c:v>0</c:v>
                </c:pt>
                <c:pt idx="2">
                  <c:v>1</c:v>
                </c:pt>
                <c:pt idx="3">
                  <c:v>1</c:v>
                </c:pt>
                <c:pt idx="4">
                  <c:v>1</c:v>
                </c:pt>
                <c:pt idx="5">
                  <c:v>0.9859154929577465</c:v>
                </c:pt>
                <c:pt idx="6">
                  <c:v>1</c:v>
                </c:pt>
                <c:pt idx="7">
                  <c:v>0.93013256897169472</c:v>
                </c:pt>
              </c:numCache>
            </c:numRef>
          </c:val>
          <c:extLst>
            <c:ext xmlns:c16="http://schemas.microsoft.com/office/drawing/2014/chart" uri="{C3380CC4-5D6E-409C-BE32-E72D297353CC}">
              <c16:uniqueId val="{00000003-0264-4BDF-A8FC-1D1BE4AD59A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N=0</c:v>
                </c:pt>
                <c:pt idx="2">
                  <c:v>Delinquent Findings, total N=10</c:v>
                </c:pt>
                <c:pt idx="3">
                  <c:v>Petitions, total N=46</c:v>
                </c:pt>
                <c:pt idx="4">
                  <c:v>Detentions, total N=2</c:v>
                </c:pt>
                <c:pt idx="5">
                  <c:v>Referrals, total N=71</c:v>
                </c:pt>
                <c:pt idx="6">
                  <c:v>Arrests, total N=101</c:v>
                </c:pt>
                <c:pt idx="7">
                  <c:v>Population, total N=2791</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264-4BDF-A8FC-1D1BE4AD59A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2791</v>
      </c>
      <c r="C6" s="11">
        <v>2596</v>
      </c>
      <c r="D6" s="11">
        <v>61</v>
      </c>
      <c r="E6" s="11">
        <v>104</v>
      </c>
      <c r="F6" s="11">
        <v>12</v>
      </c>
      <c r="G6" s="11"/>
      <c r="H6" s="11">
        <v>18</v>
      </c>
      <c r="I6" s="11"/>
      <c r="J6" s="91">
        <f>SUM(D6:I6)</f>
        <v>195</v>
      </c>
      <c r="K6" s="92"/>
    </row>
    <row r="7" spans="1:11" ht="15.75" customHeight="1" thickBot="1">
      <c r="A7" s="10" t="s">
        <v>8</v>
      </c>
      <c r="B7" s="11">
        <f t="shared" ref="B7:B15" si="0">SUM(C7:I7)+K7</f>
        <v>101</v>
      </c>
      <c r="C7" s="11">
        <v>101</v>
      </c>
      <c r="D7" s="11"/>
      <c r="E7" s="11"/>
      <c r="F7" s="11"/>
      <c r="G7" s="11"/>
      <c r="H7" s="11"/>
      <c r="I7" s="11"/>
      <c r="J7" s="91">
        <f t="shared" ref="J7:J15" si="1">SUM(D7:I7)</f>
        <v>0</v>
      </c>
      <c r="K7" s="92"/>
    </row>
    <row r="8" spans="1:11" ht="15.75" customHeight="1" thickBot="1">
      <c r="A8" s="10" t="s">
        <v>9</v>
      </c>
      <c r="B8" s="11">
        <f t="shared" si="0"/>
        <v>71</v>
      </c>
      <c r="C8" s="11">
        <v>70</v>
      </c>
      <c r="D8" s="11"/>
      <c r="E8" s="11"/>
      <c r="F8" s="11"/>
      <c r="G8" s="11"/>
      <c r="H8" s="11"/>
      <c r="I8" s="11">
        <v>1</v>
      </c>
      <c r="J8" s="91">
        <f t="shared" si="1"/>
        <v>1</v>
      </c>
      <c r="K8" s="92"/>
    </row>
    <row r="9" spans="1:11" ht="15.75" customHeight="1" thickBot="1">
      <c r="A9" s="10" t="s">
        <v>10</v>
      </c>
      <c r="B9" s="11">
        <f t="shared" si="0"/>
        <v>2</v>
      </c>
      <c r="C9" s="11">
        <v>1</v>
      </c>
      <c r="D9" s="11"/>
      <c r="E9" s="11"/>
      <c r="F9" s="11"/>
      <c r="G9" s="11"/>
      <c r="H9" s="11"/>
      <c r="I9" s="11">
        <v>1</v>
      </c>
      <c r="J9" s="91">
        <f t="shared" si="1"/>
        <v>1</v>
      </c>
      <c r="K9" s="92"/>
    </row>
    <row r="10" spans="1:11" ht="15.75" customHeight="1" thickBot="1">
      <c r="A10" s="10" t="s">
        <v>11</v>
      </c>
      <c r="B10" s="11">
        <f t="shared" si="0"/>
        <v>2</v>
      </c>
      <c r="C10" s="11">
        <v>2</v>
      </c>
      <c r="D10" s="11"/>
      <c r="E10" s="11"/>
      <c r="F10" s="11"/>
      <c r="G10" s="11"/>
      <c r="H10" s="11"/>
      <c r="I10" s="11"/>
      <c r="J10" s="91">
        <f t="shared" si="1"/>
        <v>0</v>
      </c>
      <c r="K10" s="92"/>
    </row>
    <row r="11" spans="1:11" ht="15.75" customHeight="1" thickBot="1">
      <c r="A11" s="10" t="s">
        <v>12</v>
      </c>
      <c r="B11" s="11">
        <f t="shared" si="0"/>
        <v>46</v>
      </c>
      <c r="C11" s="11">
        <v>46</v>
      </c>
      <c r="D11" s="11"/>
      <c r="E11" s="11"/>
      <c r="F11" s="11"/>
      <c r="G11" s="11"/>
      <c r="H11" s="11"/>
      <c r="I11" s="11"/>
      <c r="J11" s="91">
        <f t="shared" si="1"/>
        <v>0</v>
      </c>
      <c r="K11" s="92"/>
    </row>
    <row r="12" spans="1:11" ht="15.75" customHeight="1" thickBot="1">
      <c r="A12" s="10" t="s">
        <v>13</v>
      </c>
      <c r="B12" s="11">
        <f t="shared" si="0"/>
        <v>10</v>
      </c>
      <c r="C12" s="11">
        <v>10</v>
      </c>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1</v>
      </c>
      <c r="C15" s="11">
        <v>1</v>
      </c>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101</v>
      </c>
      <c r="Q7" s="42">
        <f>C6-C7</f>
        <v>2495</v>
      </c>
      <c r="R7" s="42">
        <f t="shared" ref="R7:R15" si="5">SUM(N7:Q7)</f>
        <v>2596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70</v>
      </c>
      <c r="D8" s="34">
        <f>IF((AND(C67&gt;0,C8&gt;0)),(C8/C67),0)</f>
        <v>69.306930693069305</v>
      </c>
      <c r="E8" s="33">
        <f>'Data Entry'!I8</f>
        <v>1</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1</v>
      </c>
      <c r="O8" s="42">
        <f>((D67*L67)-E8)+0.05</f>
        <v>-0.95</v>
      </c>
      <c r="P8" s="42">
        <f t="shared" si="4"/>
        <v>70</v>
      </c>
      <c r="Q8" s="42">
        <f>(C$67*L67)-C8</f>
        <v>31</v>
      </c>
      <c r="R8" s="42">
        <f t="shared" si="5"/>
        <v>101.05</v>
      </c>
      <c r="S8" s="30">
        <f t="shared" si="6"/>
        <v>960606.5625</v>
      </c>
      <c r="T8" s="30">
        <f t="shared" si="7"/>
        <v>10774.427500000009</v>
      </c>
      <c r="U8" s="31">
        <f t="shared" si="8"/>
        <v>89.156158181026257</v>
      </c>
    </row>
    <row r="9" spans="2:21" ht="18" customHeight="1">
      <c r="B9" s="32" t="str">
        <f>'Data Entry'!A9</f>
        <v xml:space="preserve">4. Cases Diverted </v>
      </c>
      <c r="C9" s="33">
        <f>'Data Entry'!C9</f>
        <v>1</v>
      </c>
      <c r="D9" s="34">
        <f>IF((AND(C68&gt;0,C9&gt;0)),((C9/C68)),0)</f>
        <v>1.4285714285714286</v>
      </c>
      <c r="E9" s="33">
        <f>'Data Entry'!I9</f>
        <v>1</v>
      </c>
      <c r="F9" s="34">
        <f>IF((AND($E$9&gt;0,$D$68&gt;0)),(($E$9/$D$68)),0)</f>
        <v>100</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1</v>
      </c>
      <c r="O9" s="42">
        <f>(D$68*L68)-E9</f>
        <v>0</v>
      </c>
      <c r="P9" s="42">
        <f t="shared" si="4"/>
        <v>1</v>
      </c>
      <c r="Q9" s="42">
        <f>(C$68*L68)-C9</f>
        <v>69</v>
      </c>
      <c r="R9" s="42">
        <f t="shared" si="5"/>
        <v>71</v>
      </c>
      <c r="S9" s="30">
        <f t="shared" si="6"/>
        <v>338031</v>
      </c>
      <c r="T9" s="30">
        <f t="shared" si="7"/>
        <v>9660</v>
      </c>
      <c r="U9" s="31">
        <f t="shared" si="8"/>
        <v>34.99285714285714</v>
      </c>
    </row>
    <row r="10" spans="2:21" ht="18" customHeight="1">
      <c r="B10" s="32" t="str">
        <f>'Data Entry'!A10</f>
        <v>5. Cases Involving Secure Detention</v>
      </c>
      <c r="C10" s="33">
        <f>'Data Entry'!C10</f>
        <v>2</v>
      </c>
      <c r="D10" s="34">
        <f>IF(((AND(C68&gt;0,C10&gt;0))),(C10/(C68)),0)</f>
        <v>2.8571428571428572</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1</v>
      </c>
      <c r="P10" s="42">
        <f t="shared" si="4"/>
        <v>2</v>
      </c>
      <c r="Q10" s="42">
        <f>(C$68*L68)-C10</f>
        <v>68</v>
      </c>
      <c r="R10" s="42">
        <f t="shared" si="5"/>
        <v>71</v>
      </c>
      <c r="S10" s="30">
        <f t="shared" si="6"/>
        <v>284</v>
      </c>
      <c r="T10" s="30">
        <f t="shared" si="7"/>
        <v>9660</v>
      </c>
      <c r="U10" s="31">
        <f t="shared" si="8"/>
        <v>2.9399585921325053E-2</v>
      </c>
    </row>
    <row r="11" spans="2:21" ht="18" customHeight="1">
      <c r="B11" s="32" t="str">
        <f>'Data Entry'!A11</f>
        <v>6. Cases Petitioned (Charge Filed)</v>
      </c>
      <c r="C11" s="33">
        <f>'Data Entry'!C11</f>
        <v>46</v>
      </c>
      <c r="D11" s="34">
        <f>IF(((AND(C68&gt;0,C11&gt;0))),(C11/(C68)),0)</f>
        <v>65.714285714285722</v>
      </c>
      <c r="E11" s="33">
        <f>'Data Entry'!I11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0</v>
      </c>
      <c r="O11" s="42">
        <f>(D$68*L68)-E11</f>
        <v>1</v>
      </c>
      <c r="P11" s="42">
        <f t="shared" si="4"/>
        <v>46</v>
      </c>
      <c r="Q11" s="42">
        <f>(C$68*L68)-C11</f>
        <v>24</v>
      </c>
      <c r="R11" s="42">
        <f t="shared" si="5"/>
        <v>71</v>
      </c>
      <c r="S11" s="30">
        <f t="shared" si="6"/>
        <v>150236</v>
      </c>
      <c r="T11" s="30">
        <f t="shared" si="7"/>
        <v>80500</v>
      </c>
      <c r="U11" s="31">
        <f t="shared" si="8"/>
        <v>1.8662857142857143</v>
      </c>
    </row>
    <row r="12" spans="2:21" ht="18" customHeight="1">
      <c r="B12" s="32" t="str">
        <f>'Data Entry'!A12</f>
        <v>7. Cases Resulting in Delinquent Findings</v>
      </c>
      <c r="C12" s="33">
        <f>'Data Entry'!C12</f>
        <v>10</v>
      </c>
      <c r="D12" s="34">
        <f>IF(((AND(C69&gt;0,C12&gt;0))),(C12/(C69)),0)</f>
        <v>21.739130434782609</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2.1739130434782608</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0</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0.01</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0</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0.01</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0</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0.01</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0</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0.01</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0</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0.01</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Entry'!J6</f>
        <v>195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Entry'!J7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195</v>
      </c>
      <c r="P7" s="42">
        <f t="shared" ref="P7:P15" si="4">C7</f>
        <v>101</v>
      </c>
      <c r="Q7" s="42">
        <f>C6-C7</f>
        <v>2495</v>
      </c>
      <c r="R7" s="42">
        <f t="shared" ref="R7:R15" si="5">SUM(N7:Q7)</f>
        <v>2791</v>
      </c>
      <c r="S7" s="30">
        <f t="shared" ref="S7:S15" si="6">R7*((((N7*Q7)-(O7*P7))^2))</f>
        <v>1082609432775</v>
      </c>
      <c r="T7" s="30">
        <f t="shared" ref="T7:T15" si="7">(N7+O7)*(P7+Q7)*(N7+P7)*(O7+Q7)</f>
        <v>137534911800</v>
      </c>
      <c r="U7" s="31">
        <f t="shared" ref="U7:U15" si="8">IF((S7&gt;0),S7/T7,"- -")</f>
        <v>7.8715245358887849</v>
      </c>
    </row>
    <row r="8" spans="2:21" ht="18" customHeight="1">
      <c r="B8" s="32" t="str">
        <f>'Data Entry'!A8</f>
        <v>3. Refer to Juvenile Court</v>
      </c>
      <c r="C8" s="33">
        <f>'Data Entry'!C8</f>
        <v>70</v>
      </c>
      <c r="D8" s="34">
        <f>IF((AND(C67&gt;0,C8&gt;0)),(C8/C67),0)</f>
        <v>69.306930693069305</v>
      </c>
      <c r="E8" s="33">
        <f>'Data Entry'!J8</f>
        <v>1</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1</v>
      </c>
      <c r="O8" s="42">
        <f>((D67*L67)-E8)+0.05</f>
        <v>-0.95</v>
      </c>
      <c r="P8" s="42">
        <f t="shared" si="4"/>
        <v>70</v>
      </c>
      <c r="Q8" s="42">
        <f>(C$67*L67)-C8</f>
        <v>31</v>
      </c>
      <c r="R8" s="42">
        <f t="shared" si="5"/>
        <v>101.05</v>
      </c>
      <c r="S8" s="30">
        <f t="shared" si="6"/>
        <v>960606.5625</v>
      </c>
      <c r="T8" s="30">
        <f t="shared" si="7"/>
        <v>10774.427500000009</v>
      </c>
      <c r="U8" s="31">
        <f t="shared" si="8"/>
        <v>89.156158181026257</v>
      </c>
    </row>
    <row r="9" spans="2:21" ht="18" customHeight="1">
      <c r="B9" s="32" t="str">
        <f>'Data Entry'!A9</f>
        <v xml:space="preserve">4. Cases Diverted </v>
      </c>
      <c r="C9" s="33">
        <f>'Data Entry'!C9</f>
        <v>1</v>
      </c>
      <c r="D9" s="34">
        <f>IF((AND(C68&gt;0,C9&gt;0)),((C9/C68)),0)</f>
        <v>1.4285714285714286</v>
      </c>
      <c r="E9" s="33">
        <f>'Data Entry'!J9</f>
        <v>1</v>
      </c>
      <c r="F9" s="34">
        <f>IF((AND($E$9&gt;0,$D$68&gt;0)),(($E$9/$D$68)),0)</f>
        <v>100</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1</v>
      </c>
      <c r="O9" s="42">
        <f>(D$68*L68)-E9</f>
        <v>0</v>
      </c>
      <c r="P9" s="42">
        <f t="shared" si="4"/>
        <v>1</v>
      </c>
      <c r="Q9" s="42">
        <f>(C$68*L68)-C9</f>
        <v>69</v>
      </c>
      <c r="R9" s="42">
        <f t="shared" si="5"/>
        <v>71</v>
      </c>
      <c r="S9" s="30">
        <f t="shared" si="6"/>
        <v>338031</v>
      </c>
      <c r="T9" s="30">
        <f t="shared" si="7"/>
        <v>9660</v>
      </c>
      <c r="U9" s="31">
        <f t="shared" si="8"/>
        <v>34.99285714285714</v>
      </c>
    </row>
    <row r="10" spans="2:21" ht="18" customHeight="1">
      <c r="B10" s="32" t="str">
        <f>'Data Entry'!A10</f>
        <v>5. Cases Involving Secure Detention</v>
      </c>
      <c r="C10" s="33">
        <f>'Data Entry'!C10</f>
        <v>2</v>
      </c>
      <c r="D10" s="34">
        <f>IF(((AND(C68&gt;0,C10&gt;0))),(C10/(C68)),0)</f>
        <v>2.8571428571428572</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v>
      </c>
      <c r="P10" s="42">
        <f t="shared" si="4"/>
        <v>2</v>
      </c>
      <c r="Q10" s="42">
        <f>(C$68*L68)-C10</f>
        <v>68</v>
      </c>
      <c r="R10" s="42">
        <f t="shared" si="5"/>
        <v>71</v>
      </c>
      <c r="S10" s="30">
        <f t="shared" si="6"/>
        <v>284</v>
      </c>
      <c r="T10" s="30">
        <f t="shared" si="7"/>
        <v>9660</v>
      </c>
      <c r="U10" s="31">
        <f t="shared" si="8"/>
        <v>2.9399585921325053E-2</v>
      </c>
    </row>
    <row r="11" spans="2:21" ht="18" customHeight="1">
      <c r="B11" s="32" t="str">
        <f>'Data Entry'!A11</f>
        <v>6. Cases Petitioned (Charge Filed)</v>
      </c>
      <c r="C11" s="33">
        <f>'Data Entry'!C11</f>
        <v>46</v>
      </c>
      <c r="D11" s="34">
        <f>IF(((AND(C68&gt;0,C11&gt;0))),(C11/(C68)),0)</f>
        <v>65.714285714285722</v>
      </c>
      <c r="E11" s="33">
        <f>'Data Entry'!J11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46</v>
      </c>
      <c r="Q11" s="42">
        <f>(C$68*L68)-C11</f>
        <v>24</v>
      </c>
      <c r="R11" s="42">
        <f t="shared" si="5"/>
        <v>71</v>
      </c>
      <c r="S11" s="30">
        <f t="shared" si="6"/>
        <v>150236</v>
      </c>
      <c r="T11" s="30">
        <f t="shared" si="7"/>
        <v>80500</v>
      </c>
      <c r="U11" s="31">
        <f t="shared" si="8"/>
        <v>1.8662857142857143</v>
      </c>
    </row>
    <row r="12" spans="2:21" ht="18" customHeight="1">
      <c r="B12" s="32" t="str">
        <f>'Data Entry'!A12</f>
        <v>7. Cases Resulting in Delinquent Findings</v>
      </c>
      <c r="C12" s="33">
        <f>'Data Entry'!C12</f>
        <v>10</v>
      </c>
      <c r="D12" s="34">
        <f>IF(((AND(C69&gt;0,C12&gt;0))),(C12/(C69)),0)</f>
        <v>21.739130434782609</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2.1739130434782608</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0.19500000000000001</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0.01</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0.19500000000000001</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0.01</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0.19500000000000001</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0.01</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0.19500000000000001</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0.01</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0.19500000000000001</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0.01</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Clare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20</v>
      </c>
      <c r="N7" s="1">
        <f>Asian!L7</f>
        <v>139</v>
      </c>
      <c r="O7" s="1" t="e">
        <f>Hawaiian!L7</f>
        <v>#VALUE!</v>
      </c>
      <c r="P7" s="1">
        <f>'Am Indian'!L7</f>
        <v>139</v>
      </c>
      <c r="Q7" s="1" t="e">
        <f>'Other - Mixed'!L7</f>
        <v>#VALUE!</v>
      </c>
      <c r="R7" s="1">
        <f>'All Minorities'!L7</f>
        <v>20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139</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f>'Other - Mixed'!L9</f>
        <v>119</v>
      </c>
      <c r="R9" s="1">
        <f>'All Minorities'!L9</f>
        <v>20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2791</v>
      </c>
      <c r="D3" s="57">
        <f>'Data Entry'!C6</f>
        <v>2596</v>
      </c>
      <c r="E3" s="57">
        <f>'Data Entry'!D6</f>
        <v>61</v>
      </c>
      <c r="F3" s="57">
        <f>'Data Entry'!E6</f>
        <v>104</v>
      </c>
      <c r="G3" s="57">
        <f>'Data Entry'!F6</f>
        <v>12</v>
      </c>
      <c r="H3" s="57">
        <f>'Data Entry'!G6</f>
        <v>0</v>
      </c>
      <c r="I3" s="57">
        <f>'Data Entry'!H6</f>
        <v>18</v>
      </c>
      <c r="J3" s="57">
        <f>'Data Entry'!I6</f>
        <v>0</v>
      </c>
      <c r="K3" s="57">
        <f>'Data Entry'!J6</f>
        <v>195</v>
      </c>
    </row>
    <row r="4" spans="2:11" ht="15" customHeight="1">
      <c r="B4" s="16" t="s">
        <v>8</v>
      </c>
      <c r="C4" s="1">
        <f>IF((C$3&gt;0),(1000*('Data Entry'!B7/'Data Entry'!B$6)), 0)</f>
        <v>36.187746327481186</v>
      </c>
      <c r="D4" s="1">
        <f>IF((D$3&gt;0),(1000*('Data Entry'!C7/'Data Entry'!C$6)), 0)</f>
        <v>38.906009244992298</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25.438910784664994</v>
      </c>
      <c r="D5" s="1">
        <f>IF((D$3&gt;0),(1000*('Data Entry'!C8/'Data Entry'!C$6)), 0)</f>
        <v>26.964560862865948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5.1282051282051286</v>
      </c>
    </row>
    <row r="6" spans="2:11" ht="15" customHeight="1">
      <c r="B6" s="16" t="s">
        <v>10</v>
      </c>
      <c r="C6" s="1">
        <f>IF((C$3&gt;0),(1000*('Data Entry'!B9/'Data Entry'!B$6)), 0)</f>
        <v>0.71658903618774628</v>
      </c>
      <c r="D6" s="1">
        <f>IF((D$3&gt;0),(1000*('Data Entry'!C9/'Data Entry'!C$6)), 0)</f>
        <v>0.38520801232665641</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5.1282051282051286</v>
      </c>
    </row>
    <row r="7" spans="2:11" ht="15" customHeight="1">
      <c r="B7" s="16" t="s">
        <v>11</v>
      </c>
      <c r="C7" s="1">
        <f>IF((C$3&gt;0),(1000*('Data Entry'!B10/'Data Entry'!B$6)), 0)</f>
        <v>0.71658903618774628</v>
      </c>
      <c r="D7" s="1">
        <f>IF((D$3&gt;0),(1000*('Data Entry'!C10/'Data Entry'!C$6)), 0)</f>
        <v>0.77041602465331283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16.481547832318164</v>
      </c>
      <c r="D8" s="1">
        <f>IF((D$3&gt;0),(1000*('Data Entry'!C11/'Data Entry'!C$6)), 0)</f>
        <v>17.719568567026194</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3.5829451809387316</v>
      </c>
      <c r="D9" s="1">
        <f>IF((D$3&gt;0),(1000*('Data Entry'!C12/'Data Entry'!C$6)), 0)</f>
        <v>3.852080123266564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0.35829451809387314</v>
      </c>
      <c r="D12" s="1">
        <f>IF((D$3&gt;0),(1000*('Data Entry'!C15/'Data Entry'!C$6)), 0)</f>
        <v>0.38520801232665641</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Clare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0.19018315018315018</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f t="shared" si="2"/>
        <v>13.312820512820513</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f t="shared" si="2"/>
        <v>1</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Clare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2596</v>
      </c>
      <c r="D7" s="104">
        <f>'Data Entry'!D6</f>
        <v>61</v>
      </c>
      <c r="E7" s="105"/>
      <c r="F7" s="106">
        <f>'Data Entry'!E6</f>
        <v>104</v>
      </c>
      <c r="G7" s="105"/>
      <c r="H7" s="106">
        <f>'Data Entry'!F6</f>
        <v>12</v>
      </c>
      <c r="I7" s="105"/>
      <c r="J7" s="106">
        <f>'Data Entry'!G6</f>
        <v>0</v>
      </c>
      <c r="K7" s="105"/>
      <c r="L7" s="106">
        <f>'Data Entry'!H6</f>
        <v>18</v>
      </c>
      <c r="M7" s="105"/>
      <c r="N7" s="106">
        <f>'Data Entry'!I6</f>
        <v>0</v>
      </c>
      <c r="O7" s="105"/>
      <c r="P7" s="106">
        <f>'Data Entry'!J6</f>
        <v>195</v>
      </c>
      <c r="Q7" s="107"/>
    </row>
    <row r="8" spans="2:26" s="1" customFormat="1" ht="15" customHeight="1">
      <c r="B8" s="142" t="s">
        <v>8</v>
      </c>
      <c r="C8" s="103">
        <f>'Data Entry'!C7</f>
        <v>101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20</v>
      </c>
      <c r="V8" s="1">
        <f>Asian!L7</f>
        <v>139</v>
      </c>
      <c r="W8" s="1" t="e">
        <f>Hawaiian!L7</f>
        <v>#VALUE!</v>
      </c>
      <c r="X8" s="1">
        <f>'Am Indian'!L7</f>
        <v>139</v>
      </c>
      <c r="Y8" s="1" t="e">
        <f>'Other - Mixed'!L7</f>
        <v>#VALUE!</v>
      </c>
      <c r="Z8" s="1">
        <f>'All Minorities'!L7</f>
        <v>20</v>
      </c>
    </row>
    <row r="9" spans="2:26" s="1" customFormat="1" ht="15" customHeight="1">
      <c r="B9" s="142" t="s">
        <v>134</v>
      </c>
      <c r="C9" s="103">
        <f>'Data Entry'!C8</f>
        <v>70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1</v>
      </c>
      <c r="O9" s="109" t="str">
        <f>'Other - Mixed'!G8</f>
        <v>*</v>
      </c>
      <c r="P9" s="110">
        <f>'Data Entry'!J8</f>
        <v>1</v>
      </c>
      <c r="Q9" s="111" t="str">
        <f>'All Minorities'!G8</f>
        <v>**</v>
      </c>
      <c r="R9"/>
      <c r="T9" s="1">
        <f>'Black or African-American'!L8</f>
        <v>40</v>
      </c>
      <c r="U9" s="1">
        <f>Hispanic!L8</f>
        <v>40</v>
      </c>
      <c r="V9" s="1">
        <f>Asian!L8</f>
        <v>139</v>
      </c>
      <c r="W9" s="1">
        <f>Hawaiian!L8</f>
        <v>139</v>
      </c>
      <c r="X9" s="1">
        <f>'Am Indian'!L8</f>
        <v>139</v>
      </c>
      <c r="Y9" s="1">
        <f>'Other - Mixed'!L8</f>
        <v>119</v>
      </c>
      <c r="Z9" s="1">
        <f>'All Minorities'!L8</f>
        <v>20</v>
      </c>
    </row>
    <row r="10" spans="2:26" s="1" customFormat="1" ht="15" customHeight="1">
      <c r="B10" s="142"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1</v>
      </c>
      <c r="O10" s="113" t="str">
        <f>'Other - Mixed'!G9</f>
        <v>*</v>
      </c>
      <c r="P10" s="114">
        <f>'Data Entry'!J9</f>
        <v>1</v>
      </c>
      <c r="Q10" s="115" t="str">
        <f>'All Minorities'!G9</f>
        <v>**</v>
      </c>
      <c r="R10"/>
      <c r="T10" s="1" t="e">
        <f>'Black or African-American'!L9</f>
        <v>#VALUE!</v>
      </c>
      <c r="U10" s="1" t="e">
        <f>Hispanic!L9</f>
        <v>#VALUE!</v>
      </c>
      <c r="V10" s="1" t="e">
        <f>Asian!L9</f>
        <v>#VALUE!</v>
      </c>
      <c r="W10" s="1" t="e">
        <f>Hawaiian!L9</f>
        <v>#VALUE!</v>
      </c>
      <c r="X10" s="1" t="e">
        <f>'Am Indian'!L9</f>
        <v>#VALUE!</v>
      </c>
      <c r="Y10" s="1">
        <f>'Other - Mixed'!L9</f>
        <v>119</v>
      </c>
      <c r="Z10" s="1">
        <f>'All Minorities'!L9</f>
        <v>20</v>
      </c>
    </row>
    <row r="11" spans="2:26" s="1" customFormat="1" ht="15" customHeight="1">
      <c r="B11" s="142"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46</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1</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Clare</v>
      </c>
    </row>
    <row r="6" spans="1:12">
      <c r="A6" s="135" t="str">
        <f>CONCATENATE("Percentage of Minorities at Stages of the Juvenile Justice System, ", A5, " 2022")</f>
        <v>Percentage of Minorities at Stages of the Juvenile Justice System, County: Clare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1</v>
      </c>
      <c r="K7" s="96" t="str">
        <f t="shared" ref="K7:K14" si="0">A7</f>
        <v>Waivers, total N=1</v>
      </c>
      <c r="L7">
        <f>I14/(SUM(B14:G14))</f>
        <v>13.312820512820512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13.312820512820512</v>
      </c>
    </row>
    <row r="9" spans="1:12">
      <c r="A9" s="128" t="str">
        <f>CONCATENATE("Delinquent Findings, total N=", 'Data Entry'!B12)</f>
        <v>Delinquent Findings, total N=10</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N=10</v>
      </c>
      <c r="L9">
        <f>I14/(SUM(B14:G14))</f>
        <v>13.312820512820512</v>
      </c>
    </row>
    <row r="10" spans="1:12">
      <c r="A10" s="128" t="str">
        <f>CONCATENATE("Petitions, total N=", 'Data Entry'!B11)</f>
        <v>Petitions, total N=46</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N=46</v>
      </c>
      <c r="L10">
        <f>I14/(SUM(B14:G14))</f>
        <v>13.312820512820512</v>
      </c>
    </row>
    <row r="11" spans="1:1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N=2</v>
      </c>
      <c r="L11">
        <f>I14/(SUM(B14:G14))</f>
        <v>13.312820512820512</v>
      </c>
    </row>
    <row r="12" spans="1:12">
      <c r="A12" s="128" t="str">
        <f>CONCATENATE("Referrals, total N=", 'Data Entry'!B8)</f>
        <v>Referrals, total N=71</v>
      </c>
      <c r="B12" s="150">
        <f>'Data Entry'!D8/'Data Entry'!B8</f>
        <v>0</v>
      </c>
      <c r="C12" s="150">
        <f>'Data Entry'!E8/'Data Entry'!B8</f>
        <v>0</v>
      </c>
      <c r="D12" s="150">
        <f>'Data Entry'!F8/'Data Entry'!B8</f>
        <v>0</v>
      </c>
      <c r="E12" s="150">
        <f>'Data Entry'!G8/'Data Entry'!B8</f>
        <v>0</v>
      </c>
      <c r="F12" s="150">
        <f>'Data Entry'!H8/'Data Entry'!B8</f>
        <v>0</v>
      </c>
      <c r="G12" s="150">
        <f>'Data Entry'!I8/'Data Entry'!B8</f>
        <v>1.4084507042253521E-2</v>
      </c>
      <c r="H12" s="150">
        <f>SUM(D12:G12)/'Data Entry'!B8</f>
        <v>1.9837333862328903E-4</v>
      </c>
      <c r="I12" s="150">
        <f>'Data Entry'!C8/'Data Entry'!B8</f>
        <v>0.9859154929577465</v>
      </c>
      <c r="K12" s="96" t="str">
        <f t="shared" si="0"/>
        <v>Referrals, total N=71</v>
      </c>
      <c r="L12">
        <f>I14/(SUM(B14:G14))</f>
        <v>13.312820512820512</v>
      </c>
    </row>
    <row r="13" spans="1:12">
      <c r="A13" s="128" t="str">
        <f>CONCATENATE("Arrests, total N=", 'Data Entry'!B7)</f>
        <v>Arrests, total N=101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N=101</v>
      </c>
      <c r="L13">
        <f>I14/(SUM(B14:G14))</f>
        <v>13.312820512820512</v>
      </c>
    </row>
    <row r="14" spans="1:12">
      <c r="A14" s="128" t="str">
        <f>CONCATENATE("Population, total N=", 'Data Entry'!B6)</f>
        <v>Population, total N=2791</v>
      </c>
      <c r="B14" s="150">
        <f>'Data Entry'!D6/'Data Entry'!B6</f>
        <v>2.1855965603726261E-2</v>
      </c>
      <c r="C14" s="150">
        <f>'Data Entry'!E6/'Data Entry'!B6</f>
        <v>3.7262629881762807E-2</v>
      </c>
      <c r="D14" s="150">
        <f>'Data Entry'!F6/'Data Entry'!B6</f>
        <v>4.2995342171264781E-3</v>
      </c>
      <c r="E14" s="150">
        <f>'Data Entry'!G6/'Data Entry'!B6</f>
        <v>0</v>
      </c>
      <c r="F14" s="150">
        <f>'Data Entry'!H6/'Data Entry'!B6</f>
        <v>6.4493013256897167E-3</v>
      </c>
      <c r="G14" s="150">
        <f>'Data Entry'!I6/'Data Entry'!B6</f>
        <v>0</v>
      </c>
      <c r="H14" s="150">
        <f>SUM(D14:G14)/'Data Entry'!B6</f>
        <v>3.8512488508836244E-6</v>
      </c>
      <c r="I14" s="150">
        <f>'Data Entry'!C6/'Data Entry'!B6</f>
        <v>0.93013256897169472</v>
      </c>
      <c r="K14" s="96" t="str">
        <f t="shared" si="0"/>
        <v>Population, total N=2791</v>
      </c>
      <c r="L14">
        <f>I14/(SUM(B14:G14))</f>
        <v>13.312820512820512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Clare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2596</v>
      </c>
      <c r="D7" s="104">
        <f>'Data Entry'!D6</f>
        <v>61</v>
      </c>
      <c r="E7" s="105"/>
      <c r="F7" s="106">
        <f>'Data Entry'!E6</f>
        <v>104</v>
      </c>
      <c r="G7" s="105"/>
      <c r="H7" s="106">
        <f>'Data Entry'!F6</f>
        <v>12</v>
      </c>
      <c r="I7" s="105"/>
      <c r="J7" s="106">
        <f>'Data Entry'!J6</f>
        <v>195</v>
      </c>
      <c r="K7" s="107"/>
    </row>
    <row r="8" spans="2:30" s="1" customFormat="1" ht="15" customHeight="1">
      <c r="B8" s="121" t="s">
        <v>8</v>
      </c>
      <c r="C8" s="103">
        <f>'Data Entry'!C7</f>
        <v>101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20</v>
      </c>
      <c r="P8" s="1">
        <f>Asian!L7</f>
        <v>139</v>
      </c>
      <c r="Q8" s="1" t="e">
        <f>Hawaiian!L7</f>
        <v>#VALUE!</v>
      </c>
      <c r="R8" s="1">
        <f>'Am Indian'!L7</f>
        <v>139</v>
      </c>
      <c r="S8" s="1" t="e">
        <f>'Other - Mixed'!L7</f>
        <v>#VALUE!</v>
      </c>
      <c r="T8" s="1">
        <f>'All Minorities'!L7</f>
        <v>20</v>
      </c>
    </row>
    <row r="9" spans="2:30" s="1" customFormat="1" ht="15" customHeight="1">
      <c r="B9" s="121" t="s">
        <v>134</v>
      </c>
      <c r="C9" s="103">
        <f>'Data Entry'!C8</f>
        <v>70</v>
      </c>
      <c r="D9" s="108">
        <f>'Data Entry'!D8</f>
        <v>0</v>
      </c>
      <c r="E9" s="109" t="str">
        <f>'Black or African-American'!$G8</f>
        <v>**</v>
      </c>
      <c r="F9" s="110">
        <f>'Data Entry'!E8</f>
        <v>0</v>
      </c>
      <c r="G9" s="109" t="str">
        <f>Hispanic!G8</f>
        <v>**</v>
      </c>
      <c r="H9" s="110">
        <f>'Data Entry'!F8</f>
        <v>0</v>
      </c>
      <c r="I9" s="109" t="str">
        <f>Asian!G8</f>
        <v>*</v>
      </c>
      <c r="J9" s="110">
        <f>'Data Entry'!J8</f>
        <v>1</v>
      </c>
      <c r="K9" s="111" t="str">
        <f>'All Minorities'!G8</f>
        <v>**</v>
      </c>
      <c r="L9"/>
      <c r="N9" s="1">
        <f>'Black or African-American'!L8</f>
        <v>40</v>
      </c>
      <c r="O9" s="1">
        <f>Hispanic!L8</f>
        <v>40</v>
      </c>
      <c r="P9" s="1">
        <f>Asian!L8</f>
        <v>139</v>
      </c>
      <c r="Q9" s="1">
        <f>Hawaiian!L8</f>
        <v>139</v>
      </c>
      <c r="R9" s="1">
        <f>'Am Indian'!L8</f>
        <v>139</v>
      </c>
      <c r="S9" s="1">
        <f>'Other - Mixed'!L8</f>
        <v>119</v>
      </c>
      <c r="T9" s="1">
        <f>'All Minorities'!L8</f>
        <v>20</v>
      </c>
    </row>
    <row r="10" spans="2:30" s="1" customFormat="1" ht="15" customHeight="1">
      <c r="B10" s="121" t="s">
        <v>10</v>
      </c>
      <c r="C10" s="103">
        <f>'Data Entry'!C9</f>
        <v>1</v>
      </c>
      <c r="D10" s="112">
        <f>'Data Entry'!D9</f>
        <v>0</v>
      </c>
      <c r="E10" s="113" t="str">
        <f>'Black or African-American'!$G9</f>
        <v>--</v>
      </c>
      <c r="F10" s="114">
        <f>'Data Entry'!E9</f>
        <v>0</v>
      </c>
      <c r="G10" s="113" t="str">
        <f>Hispanic!G9</f>
        <v>--</v>
      </c>
      <c r="H10" s="114">
        <f>'Data Entry'!F9</f>
        <v>0</v>
      </c>
      <c r="I10" s="113" t="str">
        <f>Asian!G9</f>
        <v>*</v>
      </c>
      <c r="J10" s="114">
        <f>'Data Entry'!J9</f>
        <v>1</v>
      </c>
      <c r="K10" s="115" t="str">
        <f>'All Minorities'!G9</f>
        <v>**</v>
      </c>
      <c r="L10"/>
      <c r="N10" s="1" t="e">
        <f>'Black or African-American'!L9</f>
        <v>#VALUE!</v>
      </c>
      <c r="O10" s="1" t="e">
        <f>Hispanic!L9</f>
        <v>#VALUE!</v>
      </c>
      <c r="P10" s="1" t="e">
        <f>Asian!L9</f>
        <v>#VALUE!</v>
      </c>
      <c r="Q10" s="1" t="e">
        <f>Hawaiian!L9</f>
        <v>#VALUE!</v>
      </c>
      <c r="R10" s="1" t="e">
        <f>'Am Indian'!L9</f>
        <v>#VALUE!</v>
      </c>
      <c r="S10" s="1">
        <f>'Other - Mixed'!L9</f>
        <v>119</v>
      </c>
      <c r="T10" s="1">
        <f>'All Minorities'!L9</f>
        <v>20</v>
      </c>
    </row>
    <row r="11" spans="2:30" s="1" customFormat="1" ht="15" customHeight="1">
      <c r="B11" s="121"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46</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10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1</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Entry'!D6</f>
        <v>61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61</v>
      </c>
      <c r="P7" s="42">
        <f t="shared" ref="P7:P15" si="2">C7</f>
        <v>101</v>
      </c>
      <c r="Q7" s="42">
        <f>C6-C7</f>
        <v>2495</v>
      </c>
      <c r="R7" s="42">
        <f t="shared" ref="R7:R15" si="3">SUM(N7:Q7)</f>
        <v>2657</v>
      </c>
      <c r="S7" s="30">
        <f t="shared" ref="S7:S15" si="4">R7*((((N7*Q7)-(O7*P7))^2))</f>
        <v>100854196097</v>
      </c>
      <c r="T7" s="30">
        <f t="shared" ref="T7:T15" si="5">(N7+O7)*(P7+Q7)*(N7+P7)*(O7+Q7)</f>
        <v>40880551536</v>
      </c>
      <c r="U7" s="31">
        <f t="shared" ref="U7:U15" si="6">IF((S7&gt;0),S7/T7,"- -")</f>
        <v>2.4670458765260626</v>
      </c>
    </row>
    <row r="8" spans="2:21" ht="18" customHeight="1">
      <c r="B8" s="32" t="str">
        <f>'Data Entry'!A8</f>
        <v>3. Refer to Juvenile Court</v>
      </c>
      <c r="C8" s="33">
        <f>'Data Entry'!C8</f>
        <v>70</v>
      </c>
      <c r="D8" s="34">
        <f>IF((AND(C67&gt;0,C8&gt;0)),(C8/C67),0)</f>
        <v>69.306930693069305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70</v>
      </c>
      <c r="Q8" s="42">
        <f>(C$67*L67)-C8</f>
        <v>31</v>
      </c>
      <c r="R8" s="42">
        <f t="shared" si="3"/>
        <v>101.05</v>
      </c>
      <c r="S8" s="30">
        <f t="shared" si="4"/>
        <v>1237.8625</v>
      </c>
      <c r="T8" s="30">
        <f t="shared" si="5"/>
        <v>10976.175000000003</v>
      </c>
      <c r="U8" s="31">
        <f t="shared" si="6"/>
        <v>0.11277721975096057</v>
      </c>
    </row>
    <row r="9" spans="2:21" ht="18" customHeight="1">
      <c r="B9" s="32" t="str">
        <f>'Data Entry'!A9</f>
        <v xml:space="preserve">4. Cases Diverted </v>
      </c>
      <c r="C9" s="33">
        <f>'Data Entry'!C9</f>
        <v>1</v>
      </c>
      <c r="D9" s="34">
        <f>IF((AND(C68&gt;0,C9&gt;0)),((C9/C68)),0)</f>
        <v>1.4285714285714286</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1</v>
      </c>
      <c r="Q9" s="42">
        <f>(C$68*L68)-C9</f>
        <v>69</v>
      </c>
      <c r="R9" s="42">
        <f t="shared" si="3"/>
        <v>70</v>
      </c>
      <c r="S9" s="30">
        <f t="shared" si="4"/>
        <v>0</v>
      </c>
      <c r="T9" s="30">
        <f t="shared" si="5"/>
        <v>0</v>
      </c>
      <c r="U9" s="31" t="str">
        <f t="shared" si="6"/>
        <v>- -</v>
      </c>
    </row>
    <row r="10" spans="2:21" ht="18" customHeight="1">
      <c r="B10" s="32" t="str">
        <f>'Data Entry'!A10</f>
        <v>5. Cases Involving Secure Detention</v>
      </c>
      <c r="C10" s="33">
        <f>'Data Entry'!C10</f>
        <v>2</v>
      </c>
      <c r="D10" s="34">
        <f>IF(((AND(C68&gt;0,C10&gt;0))),(C10/(C68)),0)</f>
        <v>2.8571428571428572</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2</v>
      </c>
      <c r="Q10" s="42">
        <f>(C$68*L68)-C10</f>
        <v>68</v>
      </c>
      <c r="R10" s="42">
        <f t="shared" si="3"/>
        <v>70</v>
      </c>
      <c r="S10" s="30">
        <f t="shared" si="4"/>
        <v>0</v>
      </c>
      <c r="T10" s="30">
        <f t="shared" si="5"/>
        <v>0</v>
      </c>
      <c r="U10" s="31" t="str">
        <f t="shared" si="6"/>
        <v>- -</v>
      </c>
    </row>
    <row r="11" spans="2:21" ht="18" customHeight="1">
      <c r="B11" s="32" t="str">
        <f>'Data Entry'!A11</f>
        <v>6. Cases Petitioned (Charge Filed)</v>
      </c>
      <c r="C11" s="33">
        <f>'Data Entry'!C11</f>
        <v>46</v>
      </c>
      <c r="D11" s="34">
        <f>IF(((AND(C68&gt;0,C11&gt;0))),(C11/(C68)),0)</f>
        <v>65.714285714285722</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46</v>
      </c>
      <c r="Q11" s="42">
        <f>(C$68*L68)-C11</f>
        <v>24</v>
      </c>
      <c r="R11" s="42">
        <f t="shared" si="3"/>
        <v>70</v>
      </c>
      <c r="S11" s="30">
        <f t="shared" si="4"/>
        <v>0</v>
      </c>
      <c r="T11" s="30">
        <f t="shared" si="5"/>
        <v>0</v>
      </c>
      <c r="U11" s="31" t="str">
        <f t="shared" si="6"/>
        <v>- -</v>
      </c>
    </row>
    <row r="12" spans="2:21" ht="18" customHeight="1">
      <c r="B12" s="32" t="str">
        <f>'Data Entry'!A12</f>
        <v>7. Cases Resulting in Delinquent Findings</v>
      </c>
      <c r="C12" s="33">
        <f>'Data Entry'!C12</f>
        <v>10</v>
      </c>
      <c r="D12" s="34">
        <f>IF(((AND(C69&gt;0,C12&gt;0))),(C12/(C69)),0)</f>
        <v>21.739130434782609</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10</v>
      </c>
      <c r="Q12" s="42">
        <f>(C69*L69)-C12</f>
        <v>36</v>
      </c>
      <c r="R12" s="42">
        <f t="shared" si="3"/>
        <v>46</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10</v>
      </c>
      <c r="R13" s="42">
        <f t="shared" si="3"/>
        <v>10</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10</v>
      </c>
      <c r="R14" s="42">
        <f t="shared" si="3"/>
        <v>10</v>
      </c>
      <c r="S14" s="30">
        <f t="shared" si="4"/>
        <v>0</v>
      </c>
      <c r="T14" s="30">
        <f t="shared" si="5"/>
        <v>0</v>
      </c>
      <c r="U14" s="31" t="str">
        <f t="shared" si="6"/>
        <v>- -</v>
      </c>
    </row>
    <row r="15" spans="2:21" ht="15.75" customHeight="1">
      <c r="B15" s="32" t="str">
        <f>'Data Entry'!A15</f>
        <v xml:space="preserve">10. Cases Transferred to Adult Court </v>
      </c>
      <c r="C15" s="33">
        <f>'Data Entry'!C15</f>
        <v>1</v>
      </c>
      <c r="D15" s="34">
        <f>IF(((AND(C69&gt;0,C15&gt;0))),((C15/(C69))),0)</f>
        <v>2.1739130434782608</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1</v>
      </c>
      <c r="Q15" s="42">
        <f>(C69*L69)-C15</f>
        <v>45</v>
      </c>
      <c r="R15" s="42">
        <f t="shared" si="3"/>
        <v>46</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6.0999999999999999E-2</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6.0999999999999999E-2</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6.0999999999999999E-2</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6.0999999999999999E-2</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6.0999999999999999E-2</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Entry'!F6</f>
        <v>12</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12</v>
      </c>
      <c r="P7" s="42">
        <f t="shared" ref="P7:P15" si="4">C7</f>
        <v>101</v>
      </c>
      <c r="Q7" s="42">
        <f>C6-C7</f>
        <v>2495</v>
      </c>
      <c r="R7" s="42">
        <f t="shared" ref="R7:R15" si="5">SUM(N7:Q7)</f>
        <v>2608</v>
      </c>
      <c r="S7" s="30">
        <f t="shared" ref="S7:S15" si="6">R7*((((N7*Q7)-(O7*P7))^2))</f>
        <v>3831005952</v>
      </c>
      <c r="T7" s="30">
        <f t="shared" ref="T7:T15" si="7">(N7+O7)*(P7+Q7)*(N7+P7)*(O7+Q7)</f>
        <v>7887904464</v>
      </c>
      <c r="U7" s="31">
        <f t="shared" ref="U7:U15" si="8">IF((S7&gt;0),S7/T7,"- -")</f>
        <v>0.48568107911100078</v>
      </c>
    </row>
    <row r="8" spans="2:21" ht="18" customHeight="1">
      <c r="B8" s="32" t="str">
        <f>'Data Entry'!A8</f>
        <v>3. Refer to Juvenile Court</v>
      </c>
      <c r="C8" s="33">
        <f>'Data Entry'!C8</f>
        <v>70</v>
      </c>
      <c r="D8" s="34">
        <f>IF((AND(C67&gt;0,C8&gt;0)),(C8/C67),0)</f>
        <v>69.306930693069305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70</v>
      </c>
      <c r="Q8" s="42">
        <f>(C$67*L67)-C8</f>
        <v>31</v>
      </c>
      <c r="R8" s="42">
        <f t="shared" si="5"/>
        <v>101.05</v>
      </c>
      <c r="S8" s="30">
        <f t="shared" si="6"/>
        <v>1237.8625</v>
      </c>
      <c r="T8" s="30">
        <f t="shared" si="7"/>
        <v>10976.175000000003</v>
      </c>
      <c r="U8" s="31">
        <f t="shared" si="8"/>
        <v>0.11277721975096057</v>
      </c>
    </row>
    <row r="9" spans="2:21" ht="18" customHeight="1">
      <c r="B9" s="32" t="str">
        <f>'Data Entry'!A9</f>
        <v xml:space="preserve">4. Cases Diverted </v>
      </c>
      <c r="C9" s="33">
        <f>'Data Entry'!C9</f>
        <v>1</v>
      </c>
      <c r="D9" s="34">
        <f>IF((AND(C68&gt;0,C9&gt;0)),((C9/C68)),0)</f>
        <v>1.4285714285714286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69</v>
      </c>
      <c r="R9" s="42">
        <f t="shared" si="5"/>
        <v>70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2.8571428571428572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68</v>
      </c>
      <c r="R10" s="42">
        <f t="shared" si="5"/>
        <v>70</v>
      </c>
      <c r="S10" s="30">
        <f t="shared" si="6"/>
        <v>0</v>
      </c>
      <c r="T10" s="30">
        <f t="shared" si="7"/>
        <v>0</v>
      </c>
      <c r="U10" s="31" t="str">
        <f t="shared" si="8"/>
        <v>- -</v>
      </c>
    </row>
    <row r="11" spans="2:21" ht="18" customHeight="1">
      <c r="B11" s="32" t="str">
        <f>'Data Entry'!A11</f>
        <v>6. Cases Petitioned (Charge Filed)</v>
      </c>
      <c r="C11" s="33">
        <f>'Data Entry'!C11</f>
        <v>46</v>
      </c>
      <c r="D11" s="34">
        <f>IF(((AND(C68&gt;0,C11&gt;0))),(C11/(C68)),0)</f>
        <v>65.714285714285722</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46</v>
      </c>
      <c r="Q11" s="42">
        <f>(C$68*L68)-C11</f>
        <v>24</v>
      </c>
      <c r="R11" s="42">
        <f t="shared" si="5"/>
        <v>70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2.1739130434782608</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1.2E-2</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1.2E-2</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1.2E-2</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1.2E-2</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1.2E-2</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Entry'!E6</f>
        <v>104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Entry'!E7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104</v>
      </c>
      <c r="P7" s="42">
        <f t="shared" ref="P7:P15" si="4">C7</f>
        <v>101</v>
      </c>
      <c r="Q7" s="42">
        <f>C6-C7</f>
        <v>2495</v>
      </c>
      <c r="R7" s="42">
        <f t="shared" ref="R7:R15" si="5">SUM(N7:Q7)</f>
        <v>2700</v>
      </c>
      <c r="S7" s="30">
        <f t="shared" ref="S7:S15" si="6">R7*((((N7*Q7)-(O7*P7))^2))</f>
        <v>297901843200</v>
      </c>
      <c r="T7" s="30">
        <f t="shared" ref="T7:T15" si="7">(N7+O7)*(P7+Q7)*(N7+P7)*(O7+Q7)</f>
        <v>70870530016</v>
      </c>
      <c r="U7" s="31">
        <f t="shared" ref="U7:U15" si="8">IF((S7&gt;0),S7/T7,"- -")</f>
        <v>4.2034657160422615</v>
      </c>
    </row>
    <row r="8" spans="2:21" ht="18" customHeight="1">
      <c r="B8" s="32" t="str">
        <f>'Data Entry'!A8</f>
        <v>3. Refer to Juvenile Court</v>
      </c>
      <c r="C8" s="33">
        <f>'Data Entry'!C8</f>
        <v>70</v>
      </c>
      <c r="D8" s="34">
        <f>IF((AND(C67&gt;0,C8&gt;0)),(C8/C67),0)</f>
        <v>69.306930693069305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70</v>
      </c>
      <c r="Q8" s="42">
        <f>(C$67*L67)-C8</f>
        <v>31</v>
      </c>
      <c r="R8" s="42">
        <f t="shared" si="5"/>
        <v>101.05</v>
      </c>
      <c r="S8" s="30">
        <f t="shared" si="6"/>
        <v>1237.8625</v>
      </c>
      <c r="T8" s="30">
        <f t="shared" si="7"/>
        <v>10976.175000000003</v>
      </c>
      <c r="U8" s="31">
        <f t="shared" si="8"/>
        <v>0.11277721975096057</v>
      </c>
    </row>
    <row r="9" spans="2:21" ht="18" customHeight="1">
      <c r="B9" s="32" t="str">
        <f>'Data Entry'!A9</f>
        <v xml:space="preserve">4. Cases Diverted </v>
      </c>
      <c r="C9" s="33">
        <f>'Data Entry'!C9</f>
        <v>1</v>
      </c>
      <c r="D9" s="34">
        <f>IF((AND(C68&gt;0,C9&gt;0)),((C9/C68)),0)</f>
        <v>1.4285714285714286</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69</v>
      </c>
      <c r="R9" s="42">
        <f t="shared" si="5"/>
        <v>70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2.8571428571428572</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68</v>
      </c>
      <c r="R10" s="42">
        <f t="shared" si="5"/>
        <v>70</v>
      </c>
      <c r="S10" s="30">
        <f t="shared" si="6"/>
        <v>0</v>
      </c>
      <c r="T10" s="30">
        <f t="shared" si="7"/>
        <v>0</v>
      </c>
      <c r="U10" s="31" t="str">
        <f t="shared" si="8"/>
        <v>- -</v>
      </c>
    </row>
    <row r="11" spans="2:21" ht="18" customHeight="1">
      <c r="B11" s="32" t="str">
        <f>'Data Entry'!A11</f>
        <v>6. Cases Petitioned (Charge Filed)</v>
      </c>
      <c r="C11" s="33">
        <f>'Data Entry'!C11</f>
        <v>46</v>
      </c>
      <c r="D11" s="34">
        <f>IF(((AND(C68&gt;0,C11&gt;0))),(C11/(C68)),0)</f>
        <v>65.714285714285722</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46</v>
      </c>
      <c r="Q11" s="42">
        <f>(C$68*L68)-C11</f>
        <v>24</v>
      </c>
      <c r="R11" s="42">
        <f t="shared" si="5"/>
        <v>70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2.1739130434782608</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0.104</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0.104</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0.104</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0.104</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0.104</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101</v>
      </c>
      <c r="Q7" s="42">
        <f>C6-C7</f>
        <v>2495</v>
      </c>
      <c r="R7" s="42">
        <f t="shared" ref="R7:R15" si="5">SUM(N7:Q7)</f>
        <v>2596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70</v>
      </c>
      <c r="D8" s="34">
        <f>IF((AND(C67&gt;0,C8&gt;0)),(C8/C67),0)</f>
        <v>69.306930693069305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70</v>
      </c>
      <c r="Q8" s="42">
        <f>(C$67*L67)-C8</f>
        <v>31</v>
      </c>
      <c r="R8" s="42">
        <f t="shared" si="5"/>
        <v>101.05</v>
      </c>
      <c r="S8" s="30">
        <f t="shared" si="6"/>
        <v>1237.8625</v>
      </c>
      <c r="T8" s="30">
        <f t="shared" si="7"/>
        <v>10976.175000000003</v>
      </c>
      <c r="U8" s="31">
        <f t="shared" si="8"/>
        <v>0.11277721975096057</v>
      </c>
    </row>
    <row r="9" spans="2:21" ht="18" customHeight="1">
      <c r="B9" s="32" t="str">
        <f>'Data Entry'!A9</f>
        <v xml:space="preserve">4. Cases Diverted </v>
      </c>
      <c r="C9" s="33">
        <f>'Data Entry'!C9</f>
        <v>1</v>
      </c>
      <c r="D9" s="34">
        <f>IF((AND(C68&gt;0,C9&gt;0)),((C9/C68)),0)</f>
        <v>1.4285714285714286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69</v>
      </c>
      <c r="R9" s="42">
        <f t="shared" si="5"/>
        <v>70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2.8571428571428572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68</v>
      </c>
      <c r="R10" s="42">
        <f t="shared" si="5"/>
        <v>70</v>
      </c>
      <c r="S10" s="30">
        <f t="shared" si="6"/>
        <v>0</v>
      </c>
      <c r="T10" s="30">
        <f t="shared" si="7"/>
        <v>0</v>
      </c>
      <c r="U10" s="31" t="str">
        <f t="shared" si="8"/>
        <v>- -</v>
      </c>
    </row>
    <row r="11" spans="2:21" ht="18" customHeight="1">
      <c r="B11" s="32" t="str">
        <f>'Data Entry'!A11</f>
        <v>6. Cases Petitioned (Charge Filed)</v>
      </c>
      <c r="C11" s="33">
        <f>'Data Entry'!C11</f>
        <v>46</v>
      </c>
      <c r="D11" s="34">
        <f>IF(((AND(C68&gt;0,C11&gt;0))),(C11/(C68)),0)</f>
        <v>65.714285714285722</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46</v>
      </c>
      <c r="Q11" s="42">
        <f>(C$68*L68)-C11</f>
        <v>24</v>
      </c>
      <c r="R11" s="42">
        <f t="shared" si="5"/>
        <v>70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2.1739130434782608</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0</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0</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0</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0</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0</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Clare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2596</v>
      </c>
      <c r="D6" s="34"/>
      <c r="E6" s="33">
        <f>'Data Entry'!H6</f>
        <v>18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101</v>
      </c>
      <c r="D7" s="34">
        <f>IF((AND(C66&gt;0,C7&gt;0)),(C7/C66),0)</f>
        <v>38.906009244992298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18</v>
      </c>
      <c r="P7" s="42">
        <f t="shared" ref="P7:P15" si="4">C7</f>
        <v>101</v>
      </c>
      <c r="Q7" s="42">
        <f>C6-C7</f>
        <v>2495</v>
      </c>
      <c r="R7" s="42">
        <f t="shared" ref="R7:R15" si="5">SUM(N7:Q7)</f>
        <v>2614</v>
      </c>
      <c r="S7" s="30">
        <f t="shared" ref="S7:S15" si="6">R7*((((N7*Q7)-(O7*P7))^2))</f>
        <v>8639594136</v>
      </c>
      <c r="T7" s="30">
        <f t="shared" ref="T7:T15" si="7">(N7+O7)*(P7+Q7)*(N7+P7)*(O7+Q7)</f>
        <v>11860173864</v>
      </c>
      <c r="U7" s="31">
        <f t="shared" ref="U7:U15" si="8">IF((S7&gt;0),S7/T7,"- -")</f>
        <v>0.72845425666350083</v>
      </c>
    </row>
    <row r="8" spans="2:21" ht="18" customHeight="1">
      <c r="B8" s="32" t="str">
        <f>'Data Entry'!A8</f>
        <v>3. Refer to Juvenile Court</v>
      </c>
      <c r="C8" s="33">
        <f>'Data Entry'!C8</f>
        <v>70</v>
      </c>
      <c r="D8" s="34">
        <f>IF((AND(C67&gt;0,C8&gt;0)),(C8/C67),0)</f>
        <v>69.306930693069305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70</v>
      </c>
      <c r="Q8" s="42">
        <f>(C$67*L67)-C8</f>
        <v>31</v>
      </c>
      <c r="R8" s="42">
        <f t="shared" si="5"/>
        <v>101.05</v>
      </c>
      <c r="S8" s="30">
        <f t="shared" si="6"/>
        <v>1237.8625</v>
      </c>
      <c r="T8" s="30">
        <f t="shared" si="7"/>
        <v>10976.175000000003</v>
      </c>
      <c r="U8" s="31">
        <f t="shared" si="8"/>
        <v>0.11277721975096057</v>
      </c>
    </row>
    <row r="9" spans="2:21" ht="18" customHeight="1">
      <c r="B9" s="32" t="str">
        <f>'Data Entry'!A9</f>
        <v xml:space="preserve">4. Cases Diverted </v>
      </c>
      <c r="C9" s="33">
        <f>'Data Entry'!C9</f>
        <v>1</v>
      </c>
      <c r="D9" s="34">
        <f>IF((AND(C68&gt;0,C9&gt;0)),((C9/C68)),0)</f>
        <v>1.4285714285714286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v>
      </c>
      <c r="Q9" s="42">
        <f>(C$68*L68)-C9</f>
        <v>69</v>
      </c>
      <c r="R9" s="42">
        <f t="shared" si="5"/>
        <v>70</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2.8571428571428572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68</v>
      </c>
      <c r="R10" s="42">
        <f t="shared" si="5"/>
        <v>70</v>
      </c>
      <c r="S10" s="30">
        <f t="shared" si="6"/>
        <v>0</v>
      </c>
      <c r="T10" s="30">
        <f t="shared" si="7"/>
        <v>0</v>
      </c>
      <c r="U10" s="31" t="str">
        <f t="shared" si="8"/>
        <v>- -</v>
      </c>
    </row>
    <row r="11" spans="2:21" ht="18" customHeight="1">
      <c r="B11" s="32" t="str">
        <f>'Data Entry'!A11</f>
        <v>6. Cases Petitioned (Charge Filed)</v>
      </c>
      <c r="C11" s="33">
        <f>'Data Entry'!C11</f>
        <v>46</v>
      </c>
      <c r="D11" s="34">
        <f>IF(((AND(C68&gt;0,C11&gt;0))),(C11/(C68)),0)</f>
        <v>65.714285714285722</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46</v>
      </c>
      <c r="Q11" s="42">
        <f>(C$68*L68)-C11</f>
        <v>24</v>
      </c>
      <c r="R11" s="42">
        <f t="shared" si="5"/>
        <v>70</v>
      </c>
      <c r="S11" s="30">
        <f t="shared" si="6"/>
        <v>0</v>
      </c>
      <c r="T11" s="30">
        <f t="shared" si="7"/>
        <v>0</v>
      </c>
      <c r="U11" s="31" t="str">
        <f t="shared" si="8"/>
        <v>- -</v>
      </c>
    </row>
    <row r="12" spans="2:21" ht="18" customHeight="1">
      <c r="B12" s="32" t="str">
        <f>'Data Entry'!A12</f>
        <v>7. Cases Resulting in Delinquent Findings</v>
      </c>
      <c r="C12" s="33">
        <f>'Data Entry'!C12</f>
        <v>10</v>
      </c>
      <c r="D12" s="34">
        <f>IF(((AND(C69&gt;0,C12&gt;0))),(C12/(C69)),0)</f>
        <v>21.739130434782609</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10</v>
      </c>
      <c r="Q12" s="42">
        <f>(C69*L69)-C12</f>
        <v>36</v>
      </c>
      <c r="R12" s="42">
        <f t="shared" si="5"/>
        <v>46</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10</v>
      </c>
      <c r="R13" s="42">
        <f t="shared" si="5"/>
        <v>10</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10</v>
      </c>
      <c r="R14" s="42">
        <f t="shared" si="5"/>
        <v>10</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2.1739130434782608</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45</v>
      </c>
      <c r="R15" s="42">
        <f t="shared" si="5"/>
        <v>46</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2.5960000000000001</v>
      </c>
      <c r="D42" s="56">
        <f>E6/1000</f>
        <v>1.7999999999999999E-2</v>
      </c>
      <c r="E42" s="56">
        <f>MAX(C42:D42)</f>
        <v>2.5960000000000001</v>
      </c>
      <c r="G42" s="1" t="str">
        <f>B42</f>
        <v>per 1000 youth</v>
      </c>
      <c r="L42" s="57">
        <v>1000</v>
      </c>
      <c r="M42" s="57"/>
      <c r="R42" s="49"/>
    </row>
    <row r="43" spans="2:18" ht="15" hidden="1" customHeight="1">
      <c r="B43" s="49" t="s">
        <v>87</v>
      </c>
      <c r="C43" s="56">
        <f>C7/100</f>
        <v>1.01</v>
      </c>
      <c r="D43" s="56">
        <f>E7/100</f>
        <v>0</v>
      </c>
      <c r="E43" s="56">
        <f>MAX(C43:D43,0)</f>
        <v>1.01</v>
      </c>
      <c r="G43" s="1" t="str">
        <f>B43</f>
        <v>per 100 arrests</v>
      </c>
      <c r="L43" s="57">
        <v>100</v>
      </c>
      <c r="M43" s="57"/>
      <c r="R43" s="49"/>
    </row>
    <row r="44" spans="2:18" ht="15" hidden="1" customHeight="1">
      <c r="B44" s="49" t="s">
        <v>88</v>
      </c>
      <c r="C44" s="56">
        <f>C8/100</f>
        <v>0.7</v>
      </c>
      <c r="D44" s="56">
        <f>E8/100</f>
        <v>0</v>
      </c>
      <c r="E44" s="56">
        <f>MAX(C44:D44,0)</f>
        <v>0.7</v>
      </c>
      <c r="G44" s="1" t="str">
        <f>B44</f>
        <v>per 100 referrals</v>
      </c>
      <c r="L44" s="57">
        <v>100</v>
      </c>
      <c r="M44" s="57"/>
      <c r="R44" s="49"/>
    </row>
    <row r="45" spans="2:18" ht="15" hidden="1" customHeight="1">
      <c r="B45" s="49" t="s">
        <v>89</v>
      </c>
      <c r="C45" s="49">
        <f>C11/100</f>
        <v>0.46</v>
      </c>
      <c r="D45" s="49">
        <f>E11/100</f>
        <v>0</v>
      </c>
      <c r="E45" s="56">
        <f>MAX(C45:D45,0)</f>
        <v>0.46</v>
      </c>
      <c r="G45" s="1" t="str">
        <f>B45</f>
        <v>per 100 youth petitioned</v>
      </c>
      <c r="L45" s="57">
        <v>100</v>
      </c>
      <c r="M45" s="57"/>
      <c r="R45" s="49"/>
    </row>
    <row r="46" spans="2:18" ht="15" hidden="1" customHeight="1">
      <c r="B46" s="49" t="s">
        <v>90</v>
      </c>
      <c r="C46" s="49">
        <f>C12/100</f>
        <v>0.1</v>
      </c>
      <c r="D46" s="49">
        <f>E12/100</f>
        <v>0</v>
      </c>
      <c r="E46" s="56">
        <f>MAX(C46:D46)</f>
        <v>0.1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2.5960000000000001</v>
      </c>
      <c r="D48" s="56">
        <f>D42</f>
        <v>1.7999999999999999E-2</v>
      </c>
      <c r="E48" s="56">
        <f>MAX(C48:D48)</f>
        <v>2.5960000000000001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1.01</v>
      </c>
      <c r="D49" s="49">
        <f t="shared" si="9"/>
        <v>0</v>
      </c>
      <c r="E49" s="49">
        <f>MAX(C49:D49)</f>
        <v>1.01</v>
      </c>
      <c r="G49" s="1" t="str">
        <f>G43</f>
        <v>per 100 arrests</v>
      </c>
      <c r="L49" s="58">
        <f>IF(($E43&gt;0),L43,L42)</f>
        <v>100</v>
      </c>
      <c r="M49" s="58"/>
      <c r="N49" s="21"/>
      <c r="O49" s="21"/>
      <c r="P49" s="21"/>
      <c r="Q49" s="21"/>
      <c r="R49" s="21"/>
    </row>
    <row r="50" spans="2:18" ht="15" hidden="1" customHeight="1">
      <c r="B50" s="49" t="str">
        <f t="shared" si="9"/>
        <v>per 100 referrals</v>
      </c>
      <c r="C50" s="49">
        <f t="shared" si="9"/>
        <v>0.7</v>
      </c>
      <c r="D50" s="49">
        <f t="shared" si="9"/>
        <v>0</v>
      </c>
      <c r="E50" s="49">
        <f>MAX(C50:D50)</f>
        <v>0.7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0.46</v>
      </c>
      <c r="D51" s="49">
        <f>IF(($E45&gt;0),D45,D44)</f>
        <v>0</v>
      </c>
      <c r="E51" s="49">
        <f>MAX(C51:D51)</f>
        <v>0.46</v>
      </c>
      <c r="G51" s="1" t="str">
        <f>G45</f>
        <v>per 100 youth petitioned</v>
      </c>
      <c r="L51" s="58">
        <f>IF(($E45&gt;0),L45,L44)</f>
        <v>100</v>
      </c>
      <c r="M51" s="58"/>
    </row>
    <row r="52" spans="2:18" ht="15" hidden="1" customHeight="1">
      <c r="B52" s="49" t="str">
        <f>IF(($E46&gt;0),B46,B45)</f>
        <v>per 100 youth found delinquent</v>
      </c>
      <c r="C52" s="49">
        <f>IF(($E46&gt;0),C46,C45)</f>
        <v>0.1</v>
      </c>
      <c r="D52" s="49">
        <f>IF(($E46&gt;0),D46,D45)</f>
        <v>0</v>
      </c>
      <c r="E52" s="56">
        <f>MAX(C52:D52)</f>
        <v>0.1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2.5960000000000001</v>
      </c>
      <c r="D54" s="56">
        <f>D48</f>
        <v>1.7999999999999999E-2</v>
      </c>
      <c r="E54" s="56">
        <f>MAX(C54:D54)</f>
        <v>2.5960000000000001</v>
      </c>
      <c r="G54" s="1" t="str">
        <f>G48</f>
        <v>per 1000 youth</v>
      </c>
      <c r="L54" s="58">
        <f>L48</f>
        <v>1000</v>
      </c>
      <c r="M54" s="58"/>
    </row>
    <row r="55" spans="2:18" ht="15" hidden="1" customHeight="1">
      <c r="B55" s="49" t="str">
        <f t="shared" ref="B55:D56" si="10">IF(($E49&gt;0),B49,B48)</f>
        <v>per 100 arrests</v>
      </c>
      <c r="C55" s="49">
        <f t="shared" si="10"/>
        <v>1.01</v>
      </c>
      <c r="D55" s="49">
        <f t="shared" si="10"/>
        <v>0</v>
      </c>
      <c r="E55" s="49">
        <f>MAX(C55:D55)</f>
        <v>1.01</v>
      </c>
      <c r="G55" s="1" t="str">
        <f>G49</f>
        <v>per 100 arrests</v>
      </c>
      <c r="L55" s="58">
        <f>IF(($E49&gt;0),L49,L48)</f>
        <v>100</v>
      </c>
      <c r="M55" s="58"/>
    </row>
    <row r="56" spans="2:18" ht="15" hidden="1" customHeight="1">
      <c r="B56" s="49" t="str">
        <f t="shared" si="10"/>
        <v>per 100 referrals</v>
      </c>
      <c r="C56" s="49">
        <f t="shared" si="10"/>
        <v>0.7</v>
      </c>
      <c r="D56" s="49">
        <f t="shared" si="10"/>
        <v>0</v>
      </c>
      <c r="E56" s="49">
        <f>MAX(C56:D56)</f>
        <v>0.7</v>
      </c>
      <c r="G56" s="1" t="str">
        <f>G50</f>
        <v>per 100 referrals</v>
      </c>
      <c r="L56" s="58">
        <f>IF(($E50&gt;0),L50,L49)</f>
        <v>100</v>
      </c>
      <c r="M56" s="58"/>
    </row>
    <row r="57" spans="2:18" ht="15" hidden="1" customHeight="1">
      <c r="B57" s="49" t="str">
        <f>IF(($E51&gt;0),B51,B49)</f>
        <v>per 100 youth petitioned</v>
      </c>
      <c r="C57" s="49">
        <f>IF(($E51&gt;0),C51,C50)</f>
        <v>0.46</v>
      </c>
      <c r="D57" s="49">
        <f>IF(($E51&gt;0),D51,D50)</f>
        <v>0</v>
      </c>
      <c r="E57" s="49">
        <f>MAX(C57:D57)</f>
        <v>0.46</v>
      </c>
      <c r="G57" s="1" t="str">
        <f>G51</f>
        <v>per 100 youth petitioned</v>
      </c>
      <c r="L57" s="58">
        <f>IF(($E51&gt;0),L51,L50)</f>
        <v>100</v>
      </c>
      <c r="M57" s="58"/>
    </row>
    <row r="58" spans="2:18" ht="15" hidden="1" customHeight="1">
      <c r="B58" s="49" t="str">
        <f>IF(($E52&gt;0),B52,B51)</f>
        <v>per 100 youth found delinquent</v>
      </c>
      <c r="C58" s="49">
        <f>IF(($E52&gt;0),C52,C51)</f>
        <v>0.1</v>
      </c>
      <c r="D58" s="49">
        <f>IF(($E52&gt;0),D52,D51)</f>
        <v>0</v>
      </c>
      <c r="E58" s="56">
        <f>MAX(C58:D58)</f>
        <v>0.1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2.5960000000000001</v>
      </c>
      <c r="D60" s="56">
        <f>D54</f>
        <v>1.7999999999999999E-2</v>
      </c>
      <c r="E60" s="56">
        <f>MAX(C60:D60)</f>
        <v>2.5960000000000001</v>
      </c>
      <c r="G60" s="1" t="str">
        <f>G54</f>
        <v>per 1000 youth</v>
      </c>
      <c r="L60" s="58">
        <f>L54</f>
        <v>1000</v>
      </c>
      <c r="M60" s="58"/>
    </row>
    <row r="61" spans="2:18" ht="15" hidden="1" customHeight="1">
      <c r="B61" s="49" t="str">
        <f t="shared" ref="B61:D62" si="11">IF(($E55&gt;0),B55,B54)</f>
        <v>per 100 arrests</v>
      </c>
      <c r="C61" s="49">
        <f t="shared" si="11"/>
        <v>1.01</v>
      </c>
      <c r="D61" s="49">
        <f t="shared" si="11"/>
        <v>0</v>
      </c>
      <c r="E61" s="49">
        <f>MAX(C61:D61)</f>
        <v>1.01</v>
      </c>
      <c r="G61" s="1" t="str">
        <f>G55</f>
        <v>per 100 arrests</v>
      </c>
      <c r="L61" s="58">
        <f>IF(($E55&gt;0),L55,L54)</f>
        <v>100</v>
      </c>
      <c r="M61" s="58"/>
    </row>
    <row r="62" spans="2:18" ht="15" hidden="1" customHeight="1">
      <c r="B62" s="49" t="str">
        <f t="shared" si="11"/>
        <v>per 100 referrals</v>
      </c>
      <c r="C62" s="49">
        <f t="shared" si="11"/>
        <v>0.7</v>
      </c>
      <c r="D62" s="49">
        <f t="shared" si="11"/>
        <v>0</v>
      </c>
      <c r="E62" s="49">
        <f>MAX(C62:D62)</f>
        <v>0.7</v>
      </c>
      <c r="G62" s="1" t="str">
        <f>G56</f>
        <v>per 100 referrals</v>
      </c>
      <c r="L62" s="58">
        <f>IF(($E56&gt;0),L56,L55)</f>
        <v>100</v>
      </c>
      <c r="M62" s="58"/>
    </row>
    <row r="63" spans="2:18" ht="15" hidden="1" customHeight="1">
      <c r="B63" s="49" t="str">
        <f>IF(($E57&gt;0),B57,B55)</f>
        <v>per 100 youth petitioned</v>
      </c>
      <c r="C63" s="49">
        <f>IF(($E57&gt;0),C57,C56)</f>
        <v>0.46</v>
      </c>
      <c r="D63" s="49">
        <f>IF(($E57&gt;0),D57,D56)</f>
        <v>0</v>
      </c>
      <c r="E63" s="49">
        <f>MAX(C63:D63)</f>
        <v>0.46</v>
      </c>
      <c r="G63" s="1" t="str">
        <f>G57</f>
        <v>per 100 youth petitioned</v>
      </c>
      <c r="L63" s="58">
        <f>IF(($E57&gt;0),L57,L56)</f>
        <v>100</v>
      </c>
      <c r="M63" s="58"/>
    </row>
    <row r="64" spans="2:18" ht="15" hidden="1" customHeight="1">
      <c r="B64" s="49" t="str">
        <f>IF(($E58&gt;0),B58,B57)</f>
        <v>per 100 youth found delinquent</v>
      </c>
      <c r="C64" s="49">
        <f>IF(($E58&gt;0),C58,C57)</f>
        <v>0.1</v>
      </c>
      <c r="D64" s="49">
        <f>IF(($E58&gt;0),D58,D57)</f>
        <v>0</v>
      </c>
      <c r="E64" s="56">
        <f>MAX(C64:D64)</f>
        <v>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2.5960000000000001</v>
      </c>
      <c r="D66" s="56">
        <f>D60</f>
        <v>1.7999999999999999E-2</v>
      </c>
      <c r="E66" s="56">
        <f>MAX(C66:D66)</f>
        <v>2.5960000000000001</v>
      </c>
      <c r="G66" s="1" t="str">
        <f>G60</f>
        <v>per 1000 youth</v>
      </c>
      <c r="L66" s="58">
        <f>L60</f>
        <v>1000</v>
      </c>
      <c r="M66" s="58">
        <f>IF((B66=G66),1,2)</f>
        <v>1</v>
      </c>
    </row>
    <row r="67" spans="2:13" ht="15" hidden="1" customHeight="1">
      <c r="B67" s="49" t="str">
        <f t="shared" ref="B67:D68" si="12">IF(($E61&gt;0),B61,B60)</f>
        <v>per 100 arrests</v>
      </c>
      <c r="C67" s="49">
        <f t="shared" si="12"/>
        <v>1.01</v>
      </c>
      <c r="D67" s="49">
        <f t="shared" si="12"/>
        <v>0</v>
      </c>
      <c r="E67" s="49">
        <f>MAX(C67:D67)</f>
        <v>1.01</v>
      </c>
      <c r="G67" s="1" t="str">
        <f>G61</f>
        <v>per 100 arrests</v>
      </c>
      <c r="L67" s="58">
        <f>IF(($E61&gt;0),L61,L60)</f>
        <v>100</v>
      </c>
      <c r="M67" s="58">
        <f>IF((B67=G67),1,2)</f>
        <v>1</v>
      </c>
    </row>
    <row r="68" spans="2:13" ht="15" hidden="1" customHeight="1">
      <c r="B68" s="49" t="str">
        <f t="shared" si="12"/>
        <v>per 100 referrals</v>
      </c>
      <c r="C68" s="49">
        <f t="shared" si="12"/>
        <v>0.7</v>
      </c>
      <c r="D68" s="49">
        <f t="shared" si="12"/>
        <v>0</v>
      </c>
      <c r="E68" s="49">
        <f>MAX(C68:D68)</f>
        <v>0.7</v>
      </c>
      <c r="G68" s="1" t="str">
        <f>G62</f>
        <v>per 100 referrals</v>
      </c>
      <c r="L68" s="58">
        <f>IF(($E62&gt;0),L62,L61)</f>
        <v>100</v>
      </c>
      <c r="M68" s="58">
        <f>IF((B68=G68),1,2)</f>
        <v>1</v>
      </c>
    </row>
    <row r="69" spans="2:13" ht="15" hidden="1" customHeight="1">
      <c r="B69" s="49" t="str">
        <f>IF(($E63&gt;0),B63,B61)</f>
        <v>per 100 youth petitioned</v>
      </c>
      <c r="C69" s="49">
        <f>IF(($E63&gt;0),C63,C62)</f>
        <v>0.46</v>
      </c>
      <c r="D69" s="49">
        <f>IF(($E63&gt;0),D63,D62)</f>
        <v>0</v>
      </c>
      <c r="E69" s="49">
        <f>MAX(C69:D69)</f>
        <v>0.46</v>
      </c>
      <c r="G69" s="1" t="str">
        <f>G63</f>
        <v>per 100 youth petitioned</v>
      </c>
      <c r="L69" s="58">
        <f>IF(($E63&gt;0),L63,L62)</f>
        <v>100</v>
      </c>
      <c r="M69" s="58">
        <f>IF((B69=G69),1,2)</f>
        <v>1</v>
      </c>
    </row>
    <row r="70" spans="2:13" ht="15" hidden="1" customHeight="1">
      <c r="B70" s="49" t="str">
        <f>IF(($E64&gt;0),B64,B63)</f>
        <v>per 100 youth found delinquent</v>
      </c>
      <c r="C70" s="49">
        <f>IF(($E64&gt;0),C64,C63)</f>
        <v>0.1</v>
      </c>
      <c r="D70" s="49">
        <f>IF(($E64&gt;0),D64,D63)</f>
        <v>0</v>
      </c>
      <c r="E70" s="56">
        <f>MAX(C70:D70)</f>
        <v>0.1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U47JMPN4QEAR-1806752177-30446</_dlc_DocId>
    <_dlc_DocIdUrl xmlns="ac3811b5-0f3e-49e2-ba69-f2ffa0c782af">
      <Url>https://michiganphi.sharepoint.com/sites/CMDMC/_layouts/15/DocIdRedir.aspx?ID=U47JMPN4QEAR-1806752177-30446</Url>
      <Description>U47JMPN4QEAR-1806752177-30446</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994C994-BCFF-4CD5-8173-110A38AA864B}"/>
</file>

<file path=customXml/itemProps2.xml><?xml version="1.0" encoding="utf-8"?>
<ds:datastoreItem xmlns:ds="http://schemas.openxmlformats.org/officeDocument/2006/customXml" ds:itemID="{E8027FCF-AC0D-413A-B02D-E77BC3CE93FE}">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0ADFCED6-7823-4EAF-988B-D3E9B33BAEBB}">
  <ds:schemaRefs>
    <ds:schemaRef ds:uri="http://schemas.microsoft.com/sharepoint/v3/contenttype/forms"/>
  </ds:schemaRefs>
</ds:datastoreItem>
</file>

<file path=customXml/itemProps4.xml><?xml version="1.0" encoding="utf-8"?>
<ds:datastoreItem xmlns:ds="http://schemas.openxmlformats.org/officeDocument/2006/customXml" ds:itemID="{21B61726-74DD-4ABE-9294-BD147B7614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c2ce0c18-eede-41fd-97e3-0f01dbd4d3da</vt:lpwstr>
  </property>
</Properties>
</file>