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158124C0-688C-41BF-966F-AB428186631D}" xr6:coauthVersionLast="47" xr6:coauthVersionMax="47" xr10:uidLastSave="{00000000-0000-0000-0000-000000000000}"/>
  <bookViews>
    <workbookView xWindow="-120" yWindow="-120" windowWidth="24240" windowHeight="13140"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F27" i="5"/>
  <c r="M66" i="5"/>
  <c r="F27" i="4"/>
  <c r="M66" i="4"/>
  <c r="F27" i="2"/>
  <c r="M66" i="2"/>
  <c r="F27" i="3"/>
  <c r="M66" i="3"/>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9" i="7"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B49" i="7"/>
  <c r="D50" i="5"/>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B58" i="8" s="1"/>
  <c r="C58" i="3"/>
  <c r="D58" i="3"/>
  <c r="B58" i="3"/>
  <c r="L7" i="4"/>
  <c r="O8" i="16" s="1"/>
  <c r="E50" i="2"/>
  <c r="D56" i="2" s="1"/>
  <c r="L55" i="3"/>
  <c r="C55" i="3"/>
  <c r="E55" i="3" s="1"/>
  <c r="L51" i="8"/>
  <c r="L58" i="8" s="1"/>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C55" i="5"/>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L64" i="3"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E55" i="5"/>
  <c r="D61" i="5" s="1"/>
  <c r="B56" i="8"/>
  <c r="L56" i="8"/>
  <c r="C57" i="8"/>
  <c r="D64" i="5"/>
  <c r="C64" i="5"/>
  <c r="B57" i="8"/>
  <c r="B64" i="5"/>
  <c r="L64" i="5"/>
  <c r="B55" i="8"/>
  <c r="D56" i="8"/>
  <c r="E56" i="8" s="1"/>
  <c r="B64" i="4"/>
  <c r="G7" i="8"/>
  <c r="K8" i="16" s="1"/>
  <c r="L7" i="8"/>
  <c r="T8" i="16" s="1"/>
  <c r="E57" i="3"/>
  <c r="L63" i="3" s="1"/>
  <c r="D57" i="8"/>
  <c r="E57" i="8" s="1"/>
  <c r="L64" i="4"/>
  <c r="C64" i="3"/>
  <c r="D55" i="8"/>
  <c r="E55" i="8" s="1"/>
  <c r="D61" i="8" s="1"/>
  <c r="L55" i="8"/>
  <c r="C64" i="4"/>
  <c r="E64" i="4" s="1"/>
  <c r="D64" i="6"/>
  <c r="B64" i="3"/>
  <c r="L62" i="5"/>
  <c r="D62" i="5"/>
  <c r="E62" i="5" s="1"/>
  <c r="E57" i="6"/>
  <c r="B63" i="6" s="1"/>
  <c r="B62" i="5"/>
  <c r="D64" i="8"/>
  <c r="L64" i="6"/>
  <c r="L64" i="8"/>
  <c r="E57" i="2"/>
  <c r="C63" i="2" s="1"/>
  <c r="D64" i="3"/>
  <c r="C64" i="6"/>
  <c r="B64" i="8"/>
  <c r="E62" i="4"/>
  <c r="C68" i="4"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3" i="3" l="1"/>
  <c r="C64" i="8"/>
  <c r="B61" i="5"/>
  <c r="L61" i="5"/>
  <c r="C61" i="5"/>
  <c r="E61" i="5" s="1"/>
  <c r="D67" i="5" s="1"/>
  <c r="F8" i="5" s="1"/>
  <c r="B63" i="8"/>
  <c r="E64" i="5"/>
  <c r="Q8" i="13"/>
  <c r="I7" i="9"/>
  <c r="B63" i="3"/>
  <c r="E64" i="6"/>
  <c r="B70" i="6" s="1"/>
  <c r="M70" i="6" s="1"/>
  <c r="Z8" i="13"/>
  <c r="R7" i="9"/>
  <c r="D63" i="3"/>
  <c r="E64" i="3"/>
  <c r="C70" i="3" s="1"/>
  <c r="D14" i="3" s="1"/>
  <c r="E63" i="7"/>
  <c r="B69" i="7" s="1"/>
  <c r="F32" i="7" s="1"/>
  <c r="C63" i="6"/>
  <c r="D63" i="6"/>
  <c r="L63" i="6"/>
  <c r="L68" i="4"/>
  <c r="Q11" i="4"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D63" i="8"/>
  <c r="L63" i="8"/>
  <c r="B63" i="2"/>
  <c r="L63" i="2"/>
  <c r="D63" i="2"/>
  <c r="E63" i="2" s="1"/>
  <c r="E64" i="8"/>
  <c r="L70" i="4"/>
  <c r="D70" i="4"/>
  <c r="F14" i="4" s="1"/>
  <c r="D68" i="3"/>
  <c r="F9" i="3" s="1"/>
  <c r="C63" i="8"/>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B67" i="5" l="1"/>
  <c r="F28" i="5" s="1"/>
  <c r="E63" i="3"/>
  <c r="C69" i="3" s="1"/>
  <c r="D15" i="3" s="1"/>
  <c r="C67" i="5"/>
  <c r="E67" i="5" s="1"/>
  <c r="L70" i="5"/>
  <c r="B70" i="5"/>
  <c r="F33" i="5" s="1"/>
  <c r="L70" i="8"/>
  <c r="L70" i="3"/>
  <c r="Q13" i="3" s="1"/>
  <c r="C70" i="5"/>
  <c r="D13" i="5" s="1"/>
  <c r="L67" i="5"/>
  <c r="O8" i="5" s="1"/>
  <c r="C69" i="7"/>
  <c r="D12" i="7" s="1"/>
  <c r="L70" i="6"/>
  <c r="D70" i="6"/>
  <c r="B70" i="3"/>
  <c r="M70" i="3" s="1"/>
  <c r="D70" i="5"/>
  <c r="F14" i="5" s="1"/>
  <c r="L69" i="7"/>
  <c r="C70" i="6"/>
  <c r="D13" i="6" s="1"/>
  <c r="D70" i="3"/>
  <c r="F13" i="3" s="1"/>
  <c r="D69" i="7"/>
  <c r="F15" i="7" s="1"/>
  <c r="E63" i="6"/>
  <c r="L69" i="6" s="1"/>
  <c r="Q10" i="3"/>
  <c r="Q10" i="4"/>
  <c r="Q9" i="4"/>
  <c r="O11" i="4"/>
  <c r="R11" i="4" s="1"/>
  <c r="S11" i="4" s="1"/>
  <c r="D8" i="5"/>
  <c r="C67" i="7"/>
  <c r="F34" i="6"/>
  <c r="Q8" i="3"/>
  <c r="R8" i="3" s="1"/>
  <c r="S8" i="3" s="1"/>
  <c r="E68" i="4"/>
  <c r="F9" i="4"/>
  <c r="O13" i="4"/>
  <c r="Q14" i="4"/>
  <c r="F33" i="6"/>
  <c r="D70" i="8"/>
  <c r="F13" i="8" s="1"/>
  <c r="C67" i="6"/>
  <c r="D8" i="6" s="1"/>
  <c r="D8" i="3"/>
  <c r="E63" i="8"/>
  <c r="D69" i="8" s="1"/>
  <c r="M70" i="4"/>
  <c r="B69" i="2"/>
  <c r="F35" i="2" s="1"/>
  <c r="B67" i="7"/>
  <c r="F28" i="7" s="1"/>
  <c r="M67" i="3"/>
  <c r="D67" i="7"/>
  <c r="O8" i="7" s="1"/>
  <c r="F11" i="4"/>
  <c r="F31" i="4"/>
  <c r="O9" i="4"/>
  <c r="M68" i="4"/>
  <c r="E70" i="4"/>
  <c r="F29" i="4"/>
  <c r="F13" i="4"/>
  <c r="F33" i="4"/>
  <c r="F10" i="4"/>
  <c r="O10" i="4"/>
  <c r="M67" i="5"/>
  <c r="O11" i="3"/>
  <c r="T11" i="3" s="1"/>
  <c r="O14" i="4"/>
  <c r="Q13" i="4"/>
  <c r="F30" i="3"/>
  <c r="D13" i="3"/>
  <c r="Q9" i="3"/>
  <c r="O10" i="3"/>
  <c r="E68" i="3"/>
  <c r="O9" i="3"/>
  <c r="F31" i="3"/>
  <c r="F29" i="3"/>
  <c r="D14" i="4"/>
  <c r="L70" i="7"/>
  <c r="O14" i="7" s="1"/>
  <c r="M69" i="7"/>
  <c r="C70" i="8"/>
  <c r="Q13" i="8" s="1"/>
  <c r="B70" i="8"/>
  <c r="M70" i="8" s="1"/>
  <c r="E64" i="2"/>
  <c r="L70" i="2" s="1"/>
  <c r="L67" i="6"/>
  <c r="F10" i="3"/>
  <c r="F11" i="3"/>
  <c r="D67" i="6"/>
  <c r="F8" i="6" s="1"/>
  <c r="E70" i="5"/>
  <c r="Q13" i="5"/>
  <c r="Q14" i="5"/>
  <c r="D14" i="5"/>
  <c r="F35" i="7"/>
  <c r="Q14" i="3"/>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2" i="3"/>
  <c r="D8" i="2"/>
  <c r="E62" i="8"/>
  <c r="D69" i="3" l="1"/>
  <c r="E69" i="3" s="1"/>
  <c r="L69" i="3"/>
  <c r="Q12" i="3" s="1"/>
  <c r="B69" i="3"/>
  <c r="M69" i="3" s="1"/>
  <c r="E69" i="7"/>
  <c r="Q8" i="5"/>
  <c r="R8" i="5" s="1"/>
  <c r="S8" i="5" s="1"/>
  <c r="F34" i="5"/>
  <c r="M70" i="5"/>
  <c r="F34" i="3"/>
  <c r="O14" i="6"/>
  <c r="F33" i="3"/>
  <c r="D15" i="7"/>
  <c r="O12" i="7"/>
  <c r="O14" i="5"/>
  <c r="R14" i="5" s="1"/>
  <c r="S14" i="5" s="1"/>
  <c r="U14" i="5" s="1"/>
  <c r="J14" i="5" s="1"/>
  <c r="M14" i="5" s="1"/>
  <c r="Q12" i="7"/>
  <c r="O13" i="6"/>
  <c r="F13" i="6"/>
  <c r="F14" i="6"/>
  <c r="F13" i="5"/>
  <c r="B69" i="6"/>
  <c r="M69" i="6" s="1"/>
  <c r="O15" i="7"/>
  <c r="E70" i="3"/>
  <c r="O13" i="3"/>
  <c r="T13" i="3" s="1"/>
  <c r="F14" i="3"/>
  <c r="O13" i="5"/>
  <c r="T13" i="5" s="1"/>
  <c r="Q13" i="6"/>
  <c r="Q14" i="6"/>
  <c r="E70" i="6"/>
  <c r="D14" i="6"/>
  <c r="Q15" i="7"/>
  <c r="C69" i="6"/>
  <c r="D12" i="6" s="1"/>
  <c r="F12" i="7"/>
  <c r="O14" i="3"/>
  <c r="K14" i="3" s="1"/>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O13" i="8"/>
  <c r="R13" i="8" s="1"/>
  <c r="S13" i="8" s="1"/>
  <c r="U13" i="8" s="1"/>
  <c r="J13" i="8" s="1"/>
  <c r="M13" i="8" s="1"/>
  <c r="G13" i="8" s="1"/>
  <c r="K14" i="16" s="1"/>
  <c r="R10" i="3"/>
  <c r="S10" i="3" s="1"/>
  <c r="U10" i="3" s="1"/>
  <c r="J10" i="3" s="1"/>
  <c r="M10" i="3" s="1"/>
  <c r="G10" i="3" s="1"/>
  <c r="I11" i="16" s="1"/>
  <c r="F8" i="2"/>
  <c r="O14" i="8"/>
  <c r="F14" i="8"/>
  <c r="T14" i="4"/>
  <c r="B70" i="2"/>
  <c r="F33" i="2" s="1"/>
  <c r="F35" i="3"/>
  <c r="D69" i="5"/>
  <c r="O15" i="5" s="1"/>
  <c r="F32" i="3"/>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F33" i="8"/>
  <c r="C70" i="2"/>
  <c r="D14" i="2" s="1"/>
  <c r="D13" i="8"/>
  <c r="O15" i="3"/>
  <c r="K14" i="5"/>
  <c r="Q15" i="3"/>
  <c r="D70" i="2"/>
  <c r="O14" i="2" s="1"/>
  <c r="D14" i="8"/>
  <c r="E70" i="8"/>
  <c r="M67" i="2"/>
  <c r="Q13" i="7"/>
  <c r="E70" i="7"/>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3" i="6" l="1"/>
  <c r="S13" i="6" s="1"/>
  <c r="U13" i="6" s="1"/>
  <c r="J13" i="6" s="1"/>
  <c r="M13" i="6" s="1"/>
  <c r="G13" i="6" s="1"/>
  <c r="T14" i="5"/>
  <c r="F32" i="6"/>
  <c r="K14" i="6"/>
  <c r="T12" i="7"/>
  <c r="R15" i="7"/>
  <c r="S15" i="7" s="1"/>
  <c r="U15" i="7" s="1"/>
  <c r="J15" i="7" s="1"/>
  <c r="M15" i="7" s="1"/>
  <c r="T14" i="3"/>
  <c r="K13" i="5"/>
  <c r="K12" i="7"/>
  <c r="Q12" i="6"/>
  <c r="Q15" i="6"/>
  <c r="K13" i="3"/>
  <c r="R12" i="7"/>
  <c r="S12" i="7" s="1"/>
  <c r="U12" i="7" s="1"/>
  <c r="J12" i="7" s="1"/>
  <c r="R13" i="3"/>
  <c r="S13" i="3" s="1"/>
  <c r="U13" i="3" s="1"/>
  <c r="J13" i="3" s="1"/>
  <c r="T15" i="7"/>
  <c r="K13" i="6"/>
  <c r="T13" i="6"/>
  <c r="F35" i="6"/>
  <c r="T14" i="6"/>
  <c r="R14" i="6"/>
  <c r="S14" i="6" s="1"/>
  <c r="U14" i="6" s="1"/>
  <c r="J14" i="6" s="1"/>
  <c r="M14" i="6" s="1"/>
  <c r="G14" i="6" s="1"/>
  <c r="M15" i="13" s="1"/>
  <c r="O15" i="6"/>
  <c r="R14" i="3"/>
  <c r="S14" i="3" s="1"/>
  <c r="U14" i="3" s="1"/>
  <c r="J14" i="3" s="1"/>
  <c r="M14" i="3" s="1"/>
  <c r="G14" i="3" s="1"/>
  <c r="I15" i="16" s="1"/>
  <c r="R13" i="5"/>
  <c r="S13" i="5" s="1"/>
  <c r="U13" i="5" s="1"/>
  <c r="J13" i="5" s="1"/>
  <c r="M13" i="5" s="1"/>
  <c r="R14" i="8"/>
  <c r="S14" i="8" s="1"/>
  <c r="K15" i="7"/>
  <c r="O12" i="6"/>
  <c r="T13" i="8"/>
  <c r="E69" i="6"/>
  <c r="D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G13" i="9"/>
  <c r="M14" i="13"/>
  <c r="T14" i="8"/>
  <c r="D13" i="2"/>
  <c r="E70" i="2"/>
  <c r="Q14" i="2"/>
  <c r="K14" i="2" s="1"/>
  <c r="M13" i="4"/>
  <c r="G13" i="4" s="1"/>
  <c r="G14" i="16" s="1"/>
  <c r="L9" i="4"/>
  <c r="O10" i="16" s="1"/>
  <c r="R13" i="7"/>
  <c r="S13" i="7" s="1"/>
  <c r="U13" i="7" s="1"/>
  <c r="J13" i="7" s="1"/>
  <c r="M13" i="7" s="1"/>
  <c r="Q13" i="2"/>
  <c r="U9" i="3"/>
  <c r="J9" i="3" s="1"/>
  <c r="L9" i="3" s="1"/>
  <c r="K15" i="3"/>
  <c r="T15" i="3"/>
  <c r="Q14" i="13"/>
  <c r="N30" i="5"/>
  <c r="L14" i="5"/>
  <c r="Q15" i="16" s="1"/>
  <c r="I13" i="9"/>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3" i="6" l="1"/>
  <c r="R14" i="16" s="1"/>
  <c r="L13" i="5"/>
  <c r="Q14" i="16" s="1"/>
  <c r="K12" i="6"/>
  <c r="T12" i="6"/>
  <c r="L15" i="7"/>
  <c r="S16" i="16" s="1"/>
  <c r="K15" i="6"/>
  <c r="L13" i="3"/>
  <c r="P14" i="16" s="1"/>
  <c r="L12" i="7"/>
  <c r="S13" i="16" s="1"/>
  <c r="R12" i="6"/>
  <c r="S12" i="6" s="1"/>
  <c r="U12" i="6" s="1"/>
  <c r="J12" i="6" s="1"/>
  <c r="L12" i="6" s="1"/>
  <c r="R13" i="16" s="1"/>
  <c r="M13" i="3"/>
  <c r="G13" i="3" s="1"/>
  <c r="E13" i="9" s="1"/>
  <c r="M12" i="7"/>
  <c r="I15" i="13"/>
  <c r="L14" i="3"/>
  <c r="P15" i="16" s="1"/>
  <c r="R15" i="6"/>
  <c r="S15" i="6" s="1"/>
  <c r="U15" i="6" s="1"/>
  <c r="J15" i="6" s="1"/>
  <c r="M15" i="6" s="1"/>
  <c r="G15" i="6" s="1"/>
  <c r="T15" i="6"/>
  <c r="E14" i="9"/>
  <c r="N30" i="3"/>
  <c r="U14" i="8"/>
  <c r="J14" i="8" s="1"/>
  <c r="N30" i="8"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L15" i="6"/>
  <c r="R16" i="16" s="1"/>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P13" i="9"/>
  <c r="K9" i="7"/>
  <c r="T14" i="2"/>
  <c r="V12" i="13"/>
  <c r="U10" i="13"/>
  <c r="X14" i="13"/>
  <c r="N11" i="9"/>
  <c r="T15" i="5"/>
  <c r="W14" i="13"/>
  <c r="N13" i="9"/>
  <c r="L15" i="3"/>
  <c r="P16" i="16" s="1"/>
  <c r="L13" i="7"/>
  <c r="S14" i="16" s="1"/>
  <c r="M9" i="3"/>
  <c r="G9" i="3" s="1"/>
  <c r="I10" i="13" s="1"/>
  <c r="G12" i="13"/>
  <c r="G12" i="16"/>
  <c r="N9" i="9"/>
  <c r="P10" i="16"/>
  <c r="M14" i="7"/>
  <c r="N30" i="7"/>
  <c r="L14" i="7"/>
  <c r="S15" i="16" s="1"/>
  <c r="L8" i="7"/>
  <c r="S9" i="16" s="1"/>
  <c r="O13" i="9"/>
  <c r="M9" i="9"/>
  <c r="M10" i="9"/>
  <c r="O14" i="9"/>
  <c r="V10" i="13"/>
  <c r="Z14"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Y13" i="13" l="1"/>
  <c r="V14" i="13"/>
  <c r="I14" i="16"/>
  <c r="I14" i="13"/>
  <c r="M12" i="6"/>
  <c r="G12" i="6" s="1"/>
  <c r="M13" i="13" s="1"/>
  <c r="V15" i="13"/>
  <c r="N14" i="9"/>
  <c r="L14" i="8"/>
  <c r="T15" i="16" s="1"/>
  <c r="M14" i="8"/>
  <c r="G14" i="8" s="1"/>
  <c r="K15" i="16" s="1"/>
  <c r="L8" i="6"/>
  <c r="R9" i="16" s="1"/>
  <c r="L10" i="7"/>
  <c r="S11" i="16" s="1"/>
  <c r="R14" i="9"/>
  <c r="X16" i="13"/>
  <c r="P15" i="9"/>
  <c r="L15" i="5"/>
  <c r="Q16" i="16" s="1"/>
  <c r="T9" i="13"/>
  <c r="L8" i="9"/>
  <c r="X15" i="13"/>
  <c r="P14"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G12" i="9" l="1"/>
  <c r="Z15" i="13"/>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<sst xmlns="http://schemas.openxmlformats.org/spreadsheetml/2006/main" count="654" uniqueCount="141">
  <si>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</si>
  <si>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</si>
  <si>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</si>
  <si>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</si>
  <si>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</si>
  <si>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</si>
  <si>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</si>
  <si>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</si>
  <si>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</si>
  <si>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</si>
  <si>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</si>
  <si>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</si>
  <si>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</si>
  <si>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</si>
  <si>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</si>
  <si>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</si>
  <si>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</si>
  <si>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</si>
  <si>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</si>
  <si>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</si>
  <si>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</si>
  <si>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</si>
  <si>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</si>
  <si>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</si>
  <si>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</si>
  <si>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</si>
  <si>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</si>
  <si>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</si>
  <si>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</si>
  <si>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</si>
  <si>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</si>
  <si>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</si>
  <si>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</si>
  <si>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</si>
  <si>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</si>
  <si>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</si>
  <si>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</si>
  <si>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</si>
  <si>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</si>
  <si>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</si>
  <si>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</si>
  <si>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</si>
  <si>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</si>
  <si>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</si>
  <si>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</si>
  <si>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</si>
  <si>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</si>
  <si>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</si>
  <si>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</si>
  <si>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</si>
  <si>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</si>
  <si>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</si>
  <si>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</si>
  <si>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</si>
  <si>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</si>
  <si>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</si>
  <si>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</si>
  <si>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</si>
  <si>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</si>
  <si>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</si>
  <si>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</si>
  <si>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</si>
  <si>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</si>
  <si>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</si>
  <si>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</si>
  <si>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</si>
  <si>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</si>
  <si>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</si>
  <si>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</si>
  <si>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</si>
  <si>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</si>
  <si>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</si>
  <si>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</si>
  <si>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</si>
  <si>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</si>
  <si>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</si>
  <si>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</si>
  <si>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</si>
  <si>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</si>
  <si>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</si>
  <si>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</si>
  <si>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</si>
  <si>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</si>
  <si>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</si>
  <si>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</si>
  <si>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</si>
  <si>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</si>
  <si>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</si>
  <si>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</si>
  <si>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</si>
  <si>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</si>
  <si>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</si>
  <si>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</si>
  <si>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</si>
  <si>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</si>
  <si>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</si>
  <si>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</si>
  <si>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</si>
  <si>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</si>
  <si>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</si>
  <si>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</si>
  <si>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</si>
  <si>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</si>
  <si>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</si>
  <si>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</si>
  <si>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</si>
  <si>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</si>
  <si>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</si>
  <si>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</si>
  <si>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</si>
  <si>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</si>
  <si>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</si>
  <si>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</si>
  <si>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</si>
  <si>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</si>
  <si>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</si>
  <si>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</si>
  <si>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</si>
  <si>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</si>
  <si>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</si>
  <si>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</si>
  <si>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</si>
  <si>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</si>
  <si>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</si>
  <si>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</si>
  <si>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</si>
  <si>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</si>
  <si>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</si>
  <si>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</si>
  <si>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</si>
  <si>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</si>
  <si>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</si>
  <si>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</si>
  <si>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</si>
  <si>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</si>
  <si>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</si>
  <si>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</si>
  <si>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Clare</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</si>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</sst>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Clare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N=76</c:v>
                </c:pt>
                <c:pt idx="7">
                  <c:v>Population, total N=2473</c:v>
                </c:pt>
              </c:strCache>
            </c:strRef>
          </c:cat>
          <c:val>
            <c:numRef>
              <c:f>'Stacked 100%'!$B$7:$B$14</c:f>
              <c:numCache>
                <c:formatCode>0%</c:formatCode>
                <c:ptCount val="8"/>
                <c:pt idx="0">
                  <c:v>0</c:v>
                </c:pt>
                <c:pt idx="1">
                  <c:v>0</c:v>
                </c:pt>
                <c:pt idx="2">
                  <c:v>0</c:v>
                </c:pt>
                <c:pt idx="3">
                  <c:v>0</c:v>
                </c:pt>
                <c:pt idx="4">
                  <c:v>0</c:v>
                </c:pt>
                <c:pt idx="5">
                  <c:v>0</c:v>
                </c:pt>
                <c:pt idx="6">
                  <c:v>0</c:v>
                </c:pt>
                <c:pt idx="7">
                  <c:v>2.0622725434694702E-2</c:v>
                </c:pt>
              </c:numCache>
            </c:numRef>
          </c:val>
          <c:extLst>
            <c:ext xmlns:c16="http://schemas.microsoft.com/office/drawing/2014/chart" uri="{C3380CC4-5D6E-409C-BE32-E72D297353CC}">
              <c16:uniqueId val="{00000000-0264-4BDF-A8FC-1D1BE4AD59A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N=76</c:v>
                </c:pt>
                <c:pt idx="7">
                  <c:v>Population, total N=2473</c:v>
                </c:pt>
              </c:strCache>
            </c:strRef>
          </c:cat>
          <c:val>
            <c:numRef>
              <c:f>'Stacked 100%'!$C$7:$C$14</c:f>
              <c:numCache>
                <c:formatCode>0%</c:formatCode>
                <c:ptCount val="8"/>
                <c:pt idx="0">
                  <c:v>0</c:v>
                </c:pt>
                <c:pt idx="1">
                  <c:v>0</c:v>
                </c:pt>
                <c:pt idx="2">
                  <c:v>0</c:v>
                </c:pt>
                <c:pt idx="3">
                  <c:v>0</c:v>
                </c:pt>
                <c:pt idx="4">
                  <c:v>0</c:v>
                </c:pt>
                <c:pt idx="5">
                  <c:v>0</c:v>
                </c:pt>
                <c:pt idx="6">
                  <c:v>0</c:v>
                </c:pt>
                <c:pt idx="7">
                  <c:v>3.9223615042458554E-2</c:v>
                </c:pt>
              </c:numCache>
            </c:numRef>
          </c:val>
          <c:extLst>
            <c:ext xmlns:c16="http://schemas.microsoft.com/office/drawing/2014/chart" uri="{C3380CC4-5D6E-409C-BE32-E72D297353CC}">
              <c16:uniqueId val="{00000001-0264-4BDF-A8FC-1D1BE4AD59A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N=76</c:v>
                </c:pt>
                <c:pt idx="7">
                  <c:v>Population, total N=2473</c:v>
                </c:pt>
              </c:strCache>
            </c:strRef>
          </c:cat>
          <c:val>
            <c:numRef>
              <c:f>'Stacked 100%'!$H$7:$H$14</c:f>
              <c:numCache>
                <c:formatCode>0%</c:formatCode>
                <c:ptCount val="8"/>
                <c:pt idx="0">
                  <c:v>0</c:v>
                </c:pt>
                <c:pt idx="1">
                  <c:v>0</c:v>
                </c:pt>
                <c:pt idx="2">
                  <c:v>0</c:v>
                </c:pt>
                <c:pt idx="3">
                  <c:v>0</c:v>
                </c:pt>
                <c:pt idx="4">
                  <c:v>0</c:v>
                </c:pt>
                <c:pt idx="5">
                  <c:v>0</c:v>
                </c:pt>
                <c:pt idx="6">
                  <c:v>0</c:v>
                </c:pt>
                <c:pt idx="7">
                  <c:v>4.4148457199460604E-6</c:v>
                </c:pt>
              </c:numCache>
            </c:numRef>
          </c:val>
          <c:extLst>
            <c:ext xmlns:c16="http://schemas.microsoft.com/office/drawing/2014/chart" uri="{C3380CC4-5D6E-409C-BE32-E72D297353CC}">
              <c16:uniqueId val="{00000002-0264-4BDF-A8FC-1D1BE4AD59A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N=76</c:v>
                </c:pt>
                <c:pt idx="7">
                  <c:v>Population, total N=2473</c:v>
                </c:pt>
              </c:strCache>
            </c:strRef>
          </c:cat>
          <c:val>
            <c:numRef>
              <c:f>'Stacked 100%'!$I$7:$I$14</c:f>
              <c:numCache>
                <c:formatCode>0%</c:formatCode>
                <c:ptCount val="8"/>
                <c:pt idx="0">
                  <c:v>0</c:v>
                </c:pt>
                <c:pt idx="1">
                  <c:v>0</c:v>
                </c:pt>
                <c:pt idx="2">
                  <c:v>0</c:v>
                </c:pt>
                <c:pt idx="3">
                  <c:v>0</c:v>
                </c:pt>
                <c:pt idx="4">
                  <c:v>0</c:v>
                </c:pt>
                <c:pt idx="5">
                  <c:v>0</c:v>
                </c:pt>
                <c:pt idx="6">
                  <c:v>1</c:v>
                </c:pt>
                <c:pt idx="7">
                  <c:v>0.9292357460574201</c:v>
                </c:pt>
              </c:numCache>
            </c:numRef>
          </c:val>
          <c:extLst>
            <c:ext xmlns:c16="http://schemas.microsoft.com/office/drawing/2014/chart" uri="{C3380CC4-5D6E-409C-BE32-E72D297353CC}">
              <c16:uniqueId val="{00000003-0264-4BDF-A8FC-1D1BE4AD59A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N=76</c:v>
                </c:pt>
                <c:pt idx="7">
                  <c:v>Population, total N=2473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264-4BDF-A8FC-1D1BE4AD59A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abSelected="1" zoomScaleNormal="100" workbookViewId="0">
      <selection activeCell="K16" sqref="K16"/>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2473</v>
      </c>
      <c r="C6" s="11">
        <v>2298</v>
      </c>
      <c r="D6" s="11">
        <v>51</v>
      </c>
      <c r="E6" s="11">
        <v>97</v>
      </c>
      <c r="F6" s="11">
        <v>10</v>
      </c>
      <c r="G6" s="11"/>
      <c r="H6" s="11">
        <v>17</v>
      </c>
      <c r="I6" s="11"/>
      <c r="J6" s="91">
        <f>SUM(D6:I6)</f>
        <v>175</v>
      </c>
      <c r="K6" s="92"/>
    </row>
    <row r="7" spans="1:11" ht="15.75" customHeight="1" thickBot="1" x14ac:dyDescent="0.25">
      <c r="A7" s="10" t="s">
        <v>8</v>
      </c>
      <c r="B7" s="11">
        <f t="shared" ref="B7:B15" si="0">SUM(C7:I7)+K7</f>
        <v>76</v>
      </c>
      <c r="C7" s="11">
        <v>76</v>
      </c>
      <c r="D7" s="11"/>
      <c r="E7" s="11"/>
      <c r="F7" s="11"/>
      <c r="G7" s="11"/>
      <c r="H7" s="11"/>
      <c r="I7" s="11"/>
      <c r="J7" s="91">
        <f t="shared" ref="J7:J15" si="1">SUM(D7:I7)</f>
        <v>0</v>
      </c>
      <c r="K7" s="92"/>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Clare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2298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76</v>
      </c>
      <c r="D7" s="34">
        <f>IF((AND(C66&gt;0,C7&gt;0)),(C7/C66),0)</f>
        <v>33.072236727589207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76</v>
      </c>
      <c r="Q7" s="42">
        <f>C6-C7</f>
        <v>2222</v>
      </c>
      <c r="R7" s="42">
        <f t="shared" ref="R7:R15" si="5">SUM(N7:Q7)</f>
        <v>2298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76</v>
      </c>
      <c r="R8" s="42">
        <f t="shared" si="5"/>
        <v>76.05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76</v>
      </c>
      <c r="R9" s="42">
        <f t="shared" si="5"/>
        <v>76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76</v>
      </c>
      <c r="R10" s="42">
        <f t="shared" si="5"/>
        <v>76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76</v>
      </c>
      <c r="R11" s="42">
        <f t="shared" si="5"/>
        <v>76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76</v>
      </c>
      <c r="R12" s="42">
        <f t="shared" si="5"/>
        <v>76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76</v>
      </c>
      <c r="R13" s="42">
        <f t="shared" si="5"/>
        <v>76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76</v>
      </c>
      <c r="R14" s="42">
        <f t="shared" si="5"/>
        <v>76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76</v>
      </c>
      <c r="R15" s="42">
        <f t="shared" si="5"/>
        <v>76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2.298</v>
      </c>
      <c r="D42" s="56">
        <f>E6/1000</f>
        <v>0</v>
      </c>
      <c r="E42" s="56">
        <f>MAX(C42:D42)</f>
        <v>2.298</v>
      </c>
      <c r="G42" s="1" t="str">
        <f>B42</f>
        <v>per 1000 youth</v>
      </c>
      <c r="L42" s="57">
        <v>1000</v>
      </c>
      <c r="M42" s="57"/>
      <c r="R42" s="49"/>
    </row>
    <row r="43" spans="2:18" ht="15" hidden="1" customHeight="1" x14ac:dyDescent="0.25">
      <c r="B43" s="49" t="s">
        <v>87</v>
      </c>
      <c r="C43" s="56">
        <f>C7/100</f>
        <v>0.76</v>
      </c>
      <c r="D43" s="56">
        <f>E7/100</f>
        <v>0</v>
      </c>
      <c r="E43" s="56">
        <f>MAX(C43:D43,0)</f>
        <v>0.76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2.298</v>
      </c>
      <c r="D48" s="56">
        <f>D42</f>
        <v>0</v>
      </c>
      <c r="E48" s="56">
        <f>MAX(C48:D48)</f>
        <v>2.298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0.76</v>
      </c>
      <c r="D49" s="49">
        <f t="shared" si="9"/>
        <v>0</v>
      </c>
      <c r="E49" s="49">
        <f>MAX(C49:D49)</f>
        <v>0.76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2.298</v>
      </c>
      <c r="D54" s="56">
        <f>D48</f>
        <v>0</v>
      </c>
      <c r="E54" s="56">
        <f>MAX(C54:D54)</f>
        <v>2.298</v>
      </c>
      <c r="G54" s="1" t="str">
        <f>G48</f>
        <v>per 1000 youth</v>
      </c>
      <c r="L54" s="58">
        <f>L48</f>
        <v>1000</v>
      </c>
      <c r="M54" s="58"/>
    </row>
    <row r="55" spans="2:18" ht="15" hidden="1" customHeight="1" x14ac:dyDescent="0.25">
      <c r="B55" s="49" t="str">
        <f t="shared" ref="B55:D56" si="10">IF(($E49&gt;0),B49,B48)</f>
        <v>per 100 arrests</v>
      </c>
      <c r="C55" s="49">
        <f t="shared" si="10"/>
        <v>0.76</v>
      </c>
      <c r="D55" s="49">
        <f t="shared" si="10"/>
        <v>0</v>
      </c>
      <c r="E55" s="49">
        <f>MAX(C55:D55)</f>
        <v>0.76</v>
      </c>
      <c r="G55" s="1" t="str">
        <f>G49</f>
        <v>per 100 arrests</v>
      </c>
      <c r="L55" s="58">
        <f>IF(($E49&gt;0),L49,L48)</f>
        <v>100</v>
      </c>
      <c r="M55" s="58"/>
    </row>
    <row r="56" spans="2:18" ht="15" hidden="1" customHeight="1" x14ac:dyDescent="0.25">
      <c r="B56" s="49" t="str">
        <f t="shared" si="10"/>
        <v>per 100 arrests</v>
      </c>
      <c r="C56" s="49">
        <f t="shared" si="10"/>
        <v>0.76</v>
      </c>
      <c r="D56" s="49">
        <f t="shared" si="10"/>
        <v>0</v>
      </c>
      <c r="E56" s="49">
        <f>MAX(C56:D56)</f>
        <v>0.76</v>
      </c>
      <c r="G56" s="1" t="str">
        <f>G50</f>
        <v>per 100 referrals</v>
      </c>
      <c r="L56" s="58">
        <f>IF(($E50&gt;0),L50,L49)</f>
        <v>100</v>
      </c>
      <c r="M56" s="58"/>
    </row>
    <row r="57" spans="2:18" ht="15" hidden="1" customHeight="1" x14ac:dyDescent="0.25">
      <c r="B57" s="49" t="str">
        <f>IF(($E51&gt;0),B51,B49)</f>
        <v>per 100 arrests</v>
      </c>
      <c r="C57" s="49">
        <f>IF(($E51&gt;0),C51,C50)</f>
        <v>0.76</v>
      </c>
      <c r="D57" s="49">
        <f>IF(($E51&gt;0),D51,D50)</f>
        <v>0</v>
      </c>
      <c r="E57" s="49">
        <f>MAX(C57:D57)</f>
        <v>0.76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2.298</v>
      </c>
      <c r="D60" s="56">
        <f>D54</f>
        <v>0</v>
      </c>
      <c r="E60" s="56">
        <f>MAX(C60:D60)</f>
        <v>2.298</v>
      </c>
      <c r="G60" s="1" t="str">
        <f>G54</f>
        <v>per 1000 youth</v>
      </c>
      <c r="L60" s="58">
        <f>L54</f>
        <v>1000</v>
      </c>
      <c r="M60" s="58"/>
    </row>
    <row r="61" spans="2:18" ht="15" hidden="1" customHeight="1" x14ac:dyDescent="0.25">
      <c r="B61" s="49" t="str">
        <f t="shared" ref="B61:D62" si="11">IF(($E55&gt;0),B55,B54)</f>
        <v>per 100 arrests</v>
      </c>
      <c r="C61" s="49">
        <f t="shared" si="11"/>
        <v>0.76</v>
      </c>
      <c r="D61" s="49">
        <f t="shared" si="11"/>
        <v>0</v>
      </c>
      <c r="E61" s="49">
        <f>MAX(C61:D61)</f>
        <v>0.76</v>
      </c>
      <c r="G61" s="1" t="str">
        <f>G55</f>
        <v>per 100 arrests</v>
      </c>
      <c r="L61" s="58">
        <f>IF(($E55&gt;0),L55,L54)</f>
        <v>100</v>
      </c>
      <c r="M61" s="58"/>
    </row>
    <row r="62" spans="2:18" ht="15" hidden="1" customHeight="1" x14ac:dyDescent="0.25">
      <c r="B62" s="49" t="str">
        <f t="shared" si="11"/>
        <v>per 100 arrests</v>
      </c>
      <c r="C62" s="49">
        <f t="shared" si="11"/>
        <v>0.76</v>
      </c>
      <c r="D62" s="49">
        <f t="shared" si="11"/>
        <v>0</v>
      </c>
      <c r="E62" s="49">
        <f>MAX(C62:D62)</f>
        <v>0.76</v>
      </c>
      <c r="G62" s="1" t="str">
        <f>G56</f>
        <v>per 100 referrals</v>
      </c>
      <c r="L62" s="58">
        <f>IF(($E56&gt;0),L56,L55)</f>
        <v>100</v>
      </c>
      <c r="M62" s="58"/>
    </row>
    <row r="63" spans="2:18" ht="15" hidden="1" customHeight="1" x14ac:dyDescent="0.25">
      <c r="B63" s="49" t="str">
        <f>IF(($E57&gt;0),B57,B55)</f>
        <v>per 100 arrests</v>
      </c>
      <c r="C63" s="49">
        <f>IF(($E57&gt;0),C57,C56)</f>
        <v>0.76</v>
      </c>
      <c r="D63" s="49">
        <f>IF(($E57&gt;0),D57,D56)</f>
        <v>0</v>
      </c>
      <c r="E63" s="49">
        <f>MAX(C63:D63)</f>
        <v>0.76</v>
      </c>
      <c r="G63" s="1" t="str">
        <f>G57</f>
        <v>per 100 youth petitioned</v>
      </c>
      <c r="L63" s="58">
        <f>IF(($E57&gt;0),L57,L56)</f>
        <v>100</v>
      </c>
      <c r="M63" s="58"/>
    </row>
    <row r="64" spans="2:18" ht="15" hidden="1" customHeight="1" x14ac:dyDescent="0.25">
      <c r="B64" s="49" t="str">
        <f>IF(($E58&gt;0),B58,B57)</f>
        <v>per 100 arrests</v>
      </c>
      <c r="C64" s="49">
        <f>IF(($E58&gt;0),C58,C57)</f>
        <v>0.76</v>
      </c>
      <c r="D64" s="49">
        <f>IF(($E58&gt;0),D58,D57)</f>
        <v>0</v>
      </c>
      <c r="E64" s="56">
        <f>MAX(C64:D64)</f>
        <v>0.76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2.298</v>
      </c>
      <c r="D66" s="56">
        <f>D60</f>
        <v>0</v>
      </c>
      <c r="E66" s="56">
        <f>MAX(C66:D66)</f>
        <v>2.298</v>
      </c>
      <c r="G66" s="1" t="str">
        <f>G60</f>
        <v>per 1000 youth</v>
      </c>
      <c r="L66" s="58">
        <f>L60</f>
        <v>1000</v>
      </c>
      <c r="M66" s="58">
        <f>IF((B66=G66),1,2)</f>
        <v>1</v>
      </c>
    </row>
    <row r="67" spans="2:13" ht="15" hidden="1" customHeight="1" x14ac:dyDescent="0.25">
      <c r="B67" s="49" t="str">
        <f t="shared" ref="B67:D68" si="12">IF(($E61&gt;0),B61,B60)</f>
        <v>per 100 arrests</v>
      </c>
      <c r="C67" s="49">
        <f t="shared" si="12"/>
        <v>0.76</v>
      </c>
      <c r="D67" s="49">
        <f t="shared" si="12"/>
        <v>0</v>
      </c>
      <c r="E67" s="49">
        <f>MAX(C67:D67)</f>
        <v>0.76</v>
      </c>
      <c r="G67" s="1" t="str">
        <f>G61</f>
        <v>per 100 arrests</v>
      </c>
      <c r="L67" s="58">
        <f>IF(($E61&gt;0),L61,L60)</f>
        <v>100</v>
      </c>
      <c r="M67" s="58">
        <f>IF((B67=G67),1,2)</f>
        <v>1</v>
      </c>
    </row>
    <row r="68" spans="2:13" ht="15" hidden="1" customHeight="1" x14ac:dyDescent="0.25">
      <c r="B68" s="49" t="str">
        <f t="shared" si="12"/>
        <v>per 100 arrests</v>
      </c>
      <c r="C68" s="49">
        <f t="shared" si="12"/>
        <v>0.76</v>
      </c>
      <c r="D68" s="49">
        <f t="shared" si="12"/>
        <v>0</v>
      </c>
      <c r="E68" s="49">
        <f>MAX(C68:D68)</f>
        <v>0.76</v>
      </c>
      <c r="G68" s="1" t="str">
        <f>G62</f>
        <v>per 100 referrals</v>
      </c>
      <c r="L68" s="58">
        <f>IF(($E62&gt;0),L62,L61)</f>
        <v>100</v>
      </c>
      <c r="M68" s="58">
        <f>IF((B68=G68),1,2)</f>
        <v>2</v>
      </c>
    </row>
    <row r="69" spans="2:13" ht="15" hidden="1" customHeight="1" x14ac:dyDescent="0.25">
      <c r="B69" s="49" t="str">
        <f>IF(($E63&gt;0),B63,B61)</f>
        <v>per 100 arrests</v>
      </c>
      <c r="C69" s="49">
        <f>IF(($E63&gt;0),C63,C62)</f>
        <v>0.76</v>
      </c>
      <c r="D69" s="49">
        <f>IF(($E63&gt;0),D63,D62)</f>
        <v>0</v>
      </c>
      <c r="E69" s="49">
        <f>MAX(C69:D69)</f>
        <v>0.76</v>
      </c>
      <c r="G69" s="1" t="str">
        <f>G63</f>
        <v>per 100 youth petitioned</v>
      </c>
      <c r="L69" s="58">
        <f>IF(($E63&gt;0),L63,L62)</f>
        <v>100</v>
      </c>
      <c r="M69" s="58">
        <f>IF((B69=G69),1,2)</f>
        <v>2</v>
      </c>
    </row>
    <row r="70" spans="2:13" ht="15" hidden="1" customHeight="1" x14ac:dyDescent="0.25">
      <c r="B70" s="49" t="str">
        <f>IF(($E64&gt;0),B64,B63)</f>
        <v>per 100 arrests</v>
      </c>
      <c r="C70" s="49">
        <f>IF(($E64&gt;0),C64,C63)</f>
        <v>0.76</v>
      </c>
      <c r="D70" s="49">
        <f>IF(($E64&gt;0),D64,D63)</f>
        <v>0</v>
      </c>
      <c r="E70" s="56">
        <f>MAX(C70:D70)</f>
        <v>0.76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Clare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2298</v>
      </c>
      <c r="D6" s="34"/>
      <c r="E6" s="33">
        <f>'Data Entry'!J6</f>
        <v>175</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76</v>
      </c>
      <c r="D7" s="34">
        <f>IF((AND(C66&gt;0,C7&gt;0)),(C7/C66),0)</f>
        <v>33.072236727589207</v>
      </c>
      <c r="E7" s="33">
        <f>'Data Entry'!J7</f>
        <v>0</v>
      </c>
      <c r="F7" s="34">
        <f>IF((AND($E$7&gt;0,$D$66&gt;0)),($E$7/$D$66),0)</f>
        <v>0</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0</v>
      </c>
      <c r="O7" s="42">
        <f>E6-E7</f>
        <v>175</v>
      </c>
      <c r="P7" s="42">
        <f t="shared" ref="P7:P15" si="4">C7</f>
        <v>76</v>
      </c>
      <c r="Q7" s="42">
        <f>C6-C7</f>
        <v>2222</v>
      </c>
      <c r="R7" s="42">
        <f t="shared" ref="R7:R15" si="5">SUM(N7:Q7)</f>
        <v>2473</v>
      </c>
      <c r="S7" s="30">
        <f t="shared" ref="S7:S15" si="6">R7*((((N7*Q7)-(O7*P7))^2))</f>
        <v>437448970000</v>
      </c>
      <c r="T7" s="30">
        <f t="shared" ref="T7:T15" si="7">(N7+O7)*(P7+Q7)*(N7+P7)*(O7+Q7)</f>
        <v>73260469800</v>
      </c>
      <c r="U7" s="31">
        <f t="shared" ref="U7:U15" si="8">IF((S7&gt;0),S7/T7,"- -")</f>
        <v>5.9711461200594158</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76</v>
      </c>
      <c r="R8" s="42">
        <f t="shared" si="5"/>
        <v>76.05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76</v>
      </c>
      <c r="R9" s="42">
        <f t="shared" si="5"/>
        <v>76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76</v>
      </c>
      <c r="R10" s="42">
        <f t="shared" si="5"/>
        <v>76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76</v>
      </c>
      <c r="R11" s="42">
        <f t="shared" si="5"/>
        <v>76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76</v>
      </c>
      <c r="R12" s="42">
        <f t="shared" si="5"/>
        <v>76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76</v>
      </c>
      <c r="R13" s="42">
        <f t="shared" si="5"/>
        <v>76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76</v>
      </c>
      <c r="R14" s="42">
        <f t="shared" si="5"/>
        <v>76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76</v>
      </c>
      <c r="R15" s="42">
        <f t="shared" si="5"/>
        <v>76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2.298</v>
      </c>
      <c r="D42" s="56">
        <f>E6/1000</f>
        <v>0.17499999999999999</v>
      </c>
      <c r="E42" s="56">
        <f>MAX(C42:D42)</f>
        <v>2.298</v>
      </c>
      <c r="G42" s="1" t="str">
        <f>B42</f>
        <v>per 1000 youth</v>
      </c>
      <c r="L42" s="57">
        <v>1000</v>
      </c>
      <c r="M42" s="57"/>
      <c r="R42" s="49"/>
    </row>
    <row r="43" spans="2:18" ht="15" hidden="1" customHeight="1" x14ac:dyDescent="0.25">
      <c r="B43" s="49" t="s">
        <v>87</v>
      </c>
      <c r="C43" s="56">
        <f>C7/100</f>
        <v>0.76</v>
      </c>
      <c r="D43" s="56">
        <f>E7/100</f>
        <v>0</v>
      </c>
      <c r="E43" s="56">
        <f>MAX(C43:D43,0)</f>
        <v>0.76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2.298</v>
      </c>
      <c r="D48" s="56">
        <f>D42</f>
        <v>0.17499999999999999</v>
      </c>
      <c r="E48" s="56">
        <f>MAX(C48:D48)</f>
        <v>2.298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0.76</v>
      </c>
      <c r="D49" s="49">
        <f t="shared" si="9"/>
        <v>0</v>
      </c>
      <c r="E49" s="49">
        <f>MAX(C49:D49)</f>
        <v>0.76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2.298</v>
      </c>
      <c r="D54" s="56">
        <f>D48</f>
        <v>0.17499999999999999</v>
      </c>
      <c r="E54" s="56">
        <f>MAX(C54:D54)</f>
        <v>2.298</v>
      </c>
      <c r="G54" s="1" t="str">
        <f>G48</f>
        <v>per 1000 youth</v>
      </c>
      <c r="L54" s="58">
        <f>L48</f>
        <v>1000</v>
      </c>
      <c r="M54" s="58"/>
    </row>
    <row r="55" spans="2:18" ht="15" hidden="1" customHeight="1" x14ac:dyDescent="0.25">
      <c r="B55" s="49" t="str">
        <f t="shared" ref="B55:D56" si="10">IF(($E49&gt;0),B49,B48)</f>
        <v>per 100 arrests</v>
      </c>
      <c r="C55" s="49">
        <f t="shared" si="10"/>
        <v>0.76</v>
      </c>
      <c r="D55" s="49">
        <f t="shared" si="10"/>
        <v>0</v>
      </c>
      <c r="E55" s="49">
        <f>MAX(C55:D55)</f>
        <v>0.76</v>
      </c>
      <c r="G55" s="1" t="str">
        <f>G49</f>
        <v>per 100 arrests</v>
      </c>
      <c r="L55" s="58">
        <f>IF(($E49&gt;0),L49,L48)</f>
        <v>100</v>
      </c>
      <c r="M55" s="58"/>
    </row>
    <row r="56" spans="2:18" ht="15" hidden="1" customHeight="1" x14ac:dyDescent="0.25">
      <c r="B56" s="49" t="str">
        <f t="shared" si="10"/>
        <v>per 100 arrests</v>
      </c>
      <c r="C56" s="49">
        <f t="shared" si="10"/>
        <v>0.76</v>
      </c>
      <c r="D56" s="49">
        <f t="shared" si="10"/>
        <v>0</v>
      </c>
      <c r="E56" s="49">
        <f>MAX(C56:D56)</f>
        <v>0.76</v>
      </c>
      <c r="G56" s="1" t="str">
        <f>G50</f>
        <v>per 100 referrals</v>
      </c>
      <c r="L56" s="58">
        <f>IF(($E50&gt;0),L50,L49)</f>
        <v>100</v>
      </c>
      <c r="M56" s="58"/>
    </row>
    <row r="57" spans="2:18" ht="15" hidden="1" customHeight="1" x14ac:dyDescent="0.25">
      <c r="B57" s="49" t="str">
        <f>IF(($E51&gt;0),B51,B49)</f>
        <v>per 100 arrests</v>
      </c>
      <c r="C57" s="49">
        <f>IF(($E51&gt;0),C51,C50)</f>
        <v>0.76</v>
      </c>
      <c r="D57" s="49">
        <f>IF(($E51&gt;0),D51,D50)</f>
        <v>0</v>
      </c>
      <c r="E57" s="49">
        <f>MAX(C57:D57)</f>
        <v>0.76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2.298</v>
      </c>
      <c r="D60" s="56">
        <f>D54</f>
        <v>0.17499999999999999</v>
      </c>
      <c r="E60" s="56">
        <f>MAX(C60:D60)</f>
        <v>2.298</v>
      </c>
      <c r="G60" s="1" t="str">
        <f>G54</f>
        <v>per 1000 youth</v>
      </c>
      <c r="L60" s="58">
        <f>L54</f>
        <v>1000</v>
      </c>
      <c r="M60" s="58"/>
    </row>
    <row r="61" spans="2:18" ht="15" hidden="1" customHeight="1" x14ac:dyDescent="0.25">
      <c r="B61" s="49" t="str">
        <f t="shared" ref="B61:D62" si="11">IF(($E55&gt;0),B55,B54)</f>
        <v>per 100 arrests</v>
      </c>
      <c r="C61" s="49">
        <f t="shared" si="11"/>
        <v>0.76</v>
      </c>
      <c r="D61" s="49">
        <f t="shared" si="11"/>
        <v>0</v>
      </c>
      <c r="E61" s="49">
        <f>MAX(C61:D61)</f>
        <v>0.76</v>
      </c>
      <c r="G61" s="1" t="str">
        <f>G55</f>
        <v>per 100 arrests</v>
      </c>
      <c r="L61" s="58">
        <f>IF(($E55&gt;0),L55,L54)</f>
        <v>100</v>
      </c>
      <c r="M61" s="58"/>
    </row>
    <row r="62" spans="2:18" ht="15" hidden="1" customHeight="1" x14ac:dyDescent="0.25">
      <c r="B62" s="49" t="str">
        <f t="shared" si="11"/>
        <v>per 100 arrests</v>
      </c>
      <c r="C62" s="49">
        <f t="shared" si="11"/>
        <v>0.76</v>
      </c>
      <c r="D62" s="49">
        <f t="shared" si="11"/>
        <v>0</v>
      </c>
      <c r="E62" s="49">
        <f>MAX(C62:D62)</f>
        <v>0.76</v>
      </c>
      <c r="G62" s="1" t="str">
        <f>G56</f>
        <v>per 100 referrals</v>
      </c>
      <c r="L62" s="58">
        <f>IF(($E56&gt;0),L56,L55)</f>
        <v>100</v>
      </c>
      <c r="M62" s="58"/>
    </row>
    <row r="63" spans="2:18" ht="15" hidden="1" customHeight="1" x14ac:dyDescent="0.25">
      <c r="B63" s="49" t="str">
        <f>IF(($E57&gt;0),B57,B55)</f>
        <v>per 100 arrests</v>
      </c>
      <c r="C63" s="49">
        <f>IF(($E57&gt;0),C57,C56)</f>
        <v>0.76</v>
      </c>
      <c r="D63" s="49">
        <f>IF(($E57&gt;0),D57,D56)</f>
        <v>0</v>
      </c>
      <c r="E63" s="49">
        <f>MAX(C63:D63)</f>
        <v>0.76</v>
      </c>
      <c r="G63" s="1" t="str">
        <f>G57</f>
        <v>per 100 youth petitioned</v>
      </c>
      <c r="L63" s="58">
        <f>IF(($E57&gt;0),L57,L56)</f>
        <v>100</v>
      </c>
      <c r="M63" s="58"/>
    </row>
    <row r="64" spans="2:18" ht="15" hidden="1" customHeight="1" x14ac:dyDescent="0.25">
      <c r="B64" s="49" t="str">
        <f>IF(($E58&gt;0),B58,B57)</f>
        <v>per 100 arrests</v>
      </c>
      <c r="C64" s="49">
        <f>IF(($E58&gt;0),C58,C57)</f>
        <v>0.76</v>
      </c>
      <c r="D64" s="49">
        <f>IF(($E58&gt;0),D58,D57)</f>
        <v>0</v>
      </c>
      <c r="E64" s="56">
        <f>MAX(C64:D64)</f>
        <v>0.76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2.298</v>
      </c>
      <c r="D66" s="56">
        <f>D60</f>
        <v>0.17499999999999999</v>
      </c>
      <c r="E66" s="56">
        <f>MAX(C66:D66)</f>
        <v>2.298</v>
      </c>
      <c r="G66" s="1" t="str">
        <f>G60</f>
        <v>per 1000 youth</v>
      </c>
      <c r="L66" s="58">
        <f>L60</f>
        <v>1000</v>
      </c>
      <c r="M66" s="58">
        <f>IF((B66=G66),1,2)</f>
        <v>1</v>
      </c>
    </row>
    <row r="67" spans="2:13" ht="15" hidden="1" customHeight="1" x14ac:dyDescent="0.25">
      <c r="B67" s="49" t="str">
        <f t="shared" ref="B67:D68" si="12">IF(($E61&gt;0),B61,B60)</f>
        <v>per 100 arrests</v>
      </c>
      <c r="C67" s="49">
        <f t="shared" si="12"/>
        <v>0.76</v>
      </c>
      <c r="D67" s="49">
        <f t="shared" si="12"/>
        <v>0</v>
      </c>
      <c r="E67" s="49">
        <f>MAX(C67:D67)</f>
        <v>0.76</v>
      </c>
      <c r="G67" s="1" t="str">
        <f>G61</f>
        <v>per 100 arrests</v>
      </c>
      <c r="L67" s="58">
        <f>IF(($E61&gt;0),L61,L60)</f>
        <v>100</v>
      </c>
      <c r="M67" s="58">
        <f>IF((B67=G67),1,2)</f>
        <v>1</v>
      </c>
    </row>
    <row r="68" spans="2:13" ht="15" hidden="1" customHeight="1" x14ac:dyDescent="0.25">
      <c r="B68" s="49" t="str">
        <f t="shared" si="12"/>
        <v>per 100 arrests</v>
      </c>
      <c r="C68" s="49">
        <f t="shared" si="12"/>
        <v>0.76</v>
      </c>
      <c r="D68" s="49">
        <f t="shared" si="12"/>
        <v>0</v>
      </c>
      <c r="E68" s="49">
        <f>MAX(C68:D68)</f>
        <v>0.76</v>
      </c>
      <c r="G68" s="1" t="str">
        <f>G62</f>
        <v>per 100 referrals</v>
      </c>
      <c r="L68" s="58">
        <f>IF(($E62&gt;0),L62,L61)</f>
        <v>100</v>
      </c>
      <c r="M68" s="58">
        <f>IF((B68=G68),1,2)</f>
        <v>2</v>
      </c>
    </row>
    <row r="69" spans="2:13" ht="15" hidden="1" customHeight="1" x14ac:dyDescent="0.25">
      <c r="B69" s="49" t="str">
        <f>IF(($E63&gt;0),B63,B61)</f>
        <v>per 100 arrests</v>
      </c>
      <c r="C69" s="49">
        <f>IF(($E63&gt;0),C63,C62)</f>
        <v>0.76</v>
      </c>
      <c r="D69" s="49">
        <f>IF(($E63&gt;0),D63,D62)</f>
        <v>0</v>
      </c>
      <c r="E69" s="49">
        <f>MAX(C69:D69)</f>
        <v>0.76</v>
      </c>
      <c r="G69" s="1" t="str">
        <f>G63</f>
        <v>per 100 youth petitioned</v>
      </c>
      <c r="L69" s="58">
        <f>IF(($E63&gt;0),L63,L62)</f>
        <v>100</v>
      </c>
      <c r="M69" s="58">
        <f>IF((B69=G69),1,2)</f>
        <v>2</v>
      </c>
    </row>
    <row r="70" spans="2:13" ht="15" hidden="1" customHeight="1" x14ac:dyDescent="0.25">
      <c r="B70" s="49" t="str">
        <f>IF(($E64&gt;0),B64,B63)</f>
        <v>per 100 arrests</v>
      </c>
      <c r="C70" s="49">
        <f>IF(($E64&gt;0),C64,C63)</f>
        <v>0.76</v>
      </c>
      <c r="D70" s="49">
        <f>IF(($E64&gt;0),D64,D63)</f>
        <v>0</v>
      </c>
      <c r="E70" s="56">
        <f>MAX(C70:D70)</f>
        <v>0.76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Clare</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139</v>
      </c>
      <c r="Q7" s="1" t="e">
        <f>'Other - Mixed'!L7</f>
        <v>#VALUE!</v>
      </c>
      <c r="R7" s="1">
        <f>'All Minorities'!L7</f>
        <v>20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2473</v>
      </c>
      <c r="D3" s="57">
        <f>'Data Entry'!C6</f>
        <v>2298</v>
      </c>
      <c r="E3" s="57">
        <f>'Data Entry'!D6</f>
        <v>51</v>
      </c>
      <c r="F3" s="57">
        <f>'Data Entry'!E6</f>
        <v>97</v>
      </c>
      <c r="G3" s="57">
        <f>'Data Entry'!F6</f>
        <v>10</v>
      </c>
      <c r="H3" s="57">
        <f>'Data Entry'!G6</f>
        <v>0</v>
      </c>
      <c r="I3" s="57">
        <f>'Data Entry'!H6</f>
        <v>17</v>
      </c>
      <c r="J3" s="57">
        <f>'Data Entry'!I6</f>
        <v>0</v>
      </c>
      <c r="K3" s="57">
        <f>'Data Entry'!J6</f>
        <v>175</v>
      </c>
    </row>
    <row r="4" spans="2:11" ht="15" customHeight="1" x14ac:dyDescent="0.25">
      <c r="B4" s="16" t="s">
        <v>8</v>
      </c>
      <c r="C4" s="1">
        <f>IF((C$3&gt;0),(1000*('Data Entry'!B7/'Data Entry'!B$6)), 0)</f>
        <v>30.73190456934897</v>
      </c>
      <c r="D4" s="1">
        <f>IF((D$3&gt;0),(1000*('Data Entry'!C7/'Data Entry'!C$6)), 0)</f>
        <v>33.072236727589207</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Clare</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Clare</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2298</v>
      </c>
      <c r="D7" s="105">
        <f>'Data Entry'!D6</f>
        <v>51</v>
      </c>
      <c r="E7" s="106"/>
      <c r="F7" s="107">
        <f>'Data Entry'!E6</f>
        <v>97</v>
      </c>
      <c r="G7" s="106"/>
      <c r="H7" s="107">
        <f>'Data Entry'!F6</f>
        <v>10</v>
      </c>
      <c r="I7" s="106"/>
      <c r="J7" s="107">
        <f>'Data Entry'!G6</f>
        <v>0</v>
      </c>
      <c r="K7" s="106"/>
      <c r="L7" s="107">
        <f>'Data Entry'!H6</f>
        <v>17</v>
      </c>
      <c r="M7" s="106"/>
      <c r="N7" s="107">
        <f>'Data Entry'!I6</f>
        <v>0</v>
      </c>
      <c r="O7" s="106"/>
      <c r="P7" s="107">
        <f>'Data Entry'!J6</f>
        <v>175</v>
      </c>
      <c r="Q7" s="108"/>
    </row>
    <row r="8" spans="2:26" s="1" customFormat="1" ht="15" customHeight="1" x14ac:dyDescent="0.3">
      <c r="B8" s="149" t="s">
        <v>8</v>
      </c>
      <c r="C8" s="104">
        <f>'Data Entry'!C7</f>
        <v>76</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139</v>
      </c>
      <c r="Y8" s="1" t="e">
        <f>'Other - Mixed'!L7</f>
        <v>#VALUE!</v>
      </c>
      <c r="Z8" s="1">
        <f>'All Minorities'!L7</f>
        <v>20</v>
      </c>
    </row>
    <row r="9" spans="2:26" s="1" customFormat="1" ht="15" customHeight="1" x14ac:dyDescent="0.3">
      <c r="B9" s="149" t="s">
        <v>134</v>
      </c>
      <c r="C9" s="104">
        <f>'Data Entry'!C8</f>
        <v>0</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Clare</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Clare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13.131428571428568</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13.131428571428568</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13.131428571428568</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13.131428571428568</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13.131428571428568</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13.131428571428568</v>
      </c>
    </row>
    <row r="13" spans="1:12" x14ac:dyDescent="0.2">
      <c r="A13" s="132" t="str">
        <f>CONCATENATE("Arrests, total N=", 'Data Entry'!B7)</f>
        <v>Arrests, total N=76</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N=76</v>
      </c>
      <c r="L13">
        <f>I14/(SUM(B14:G14))</f>
        <v>13.131428571428568</v>
      </c>
    </row>
    <row r="14" spans="1:12" x14ac:dyDescent="0.2">
      <c r="A14" s="132" t="str">
        <f>CONCATENATE("Population, total N=", 'Data Entry'!B6)</f>
        <v>Population, total N=2473</v>
      </c>
      <c r="B14" s="157">
        <f>'Data Entry'!D6/'Data Entry'!B6</f>
        <v>2.0622725434694702E-2</v>
      </c>
      <c r="C14" s="157">
        <f>'Data Entry'!E6/'Data Entry'!B6</f>
        <v>3.9223615042458554E-2</v>
      </c>
      <c r="D14" s="157">
        <f>'Data Entry'!F6/'Data Entry'!B6</f>
        <v>4.0436716538617065E-3</v>
      </c>
      <c r="E14" s="157">
        <f>'Data Entry'!G6/'Data Entry'!B6</f>
        <v>0</v>
      </c>
      <c r="F14" s="157">
        <f>'Data Entry'!H6/'Data Entry'!B6</f>
        <v>6.8742418115649009E-3</v>
      </c>
      <c r="G14" s="157">
        <f>'Data Entry'!I6/'Data Entry'!B6</f>
        <v>0</v>
      </c>
      <c r="H14" s="157">
        <f>SUM(D14:G14)/'Data Entry'!B6</f>
        <v>4.4148457199460604E-6</v>
      </c>
      <c r="I14" s="157">
        <f>'Data Entry'!C6/'Data Entry'!B6</f>
        <v>0.9292357460574201</v>
      </c>
      <c r="K14" s="97" t="str">
        <f t="shared" si="0"/>
        <v>Population, total N=2473</v>
      </c>
      <c r="L14">
        <f>I14/(SUM(B14:G14))</f>
        <v>13.131428571428568</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Clare</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2298</v>
      </c>
      <c r="D7" s="105">
        <f>'Data Entry'!D6</f>
        <v>51</v>
      </c>
      <c r="E7" s="106"/>
      <c r="F7" s="107">
        <f>'Data Entry'!E6</f>
        <v>97</v>
      </c>
      <c r="G7" s="106"/>
      <c r="H7" s="107">
        <f>'Data Entry'!F6</f>
        <v>10</v>
      </c>
      <c r="I7" s="106"/>
      <c r="J7" s="107">
        <f>'Data Entry'!J6</f>
        <v>175</v>
      </c>
      <c r="K7" s="108"/>
    </row>
    <row r="8" spans="2:30" s="1" customFormat="1" ht="15" customHeight="1" x14ac:dyDescent="0.3">
      <c r="B8" s="125" t="s">
        <v>8</v>
      </c>
      <c r="C8" s="104">
        <f>'Data Entry'!C7</f>
        <v>76</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139</v>
      </c>
      <c r="S8" s="1" t="e">
        <f>'Other - Mixed'!L7</f>
        <v>#VALUE!</v>
      </c>
      <c r="T8" s="1">
        <f>'All Minorities'!L7</f>
        <v>20</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Clare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2298</v>
      </c>
      <c r="D6" s="34"/>
      <c r="E6" s="33">
        <f>'Data Entry'!D6</f>
        <v>51</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76</v>
      </c>
      <c r="D7" s="34">
        <f>IF((AND(C66&gt;0,C7&gt;0)),(C7/C66),0)</f>
        <v>33.072236727589207</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51</v>
      </c>
      <c r="P7" s="42">
        <f t="shared" ref="P7:P15" si="2">C7</f>
        <v>76</v>
      </c>
      <c r="Q7" s="42">
        <f>C6-C7</f>
        <v>2222</v>
      </c>
      <c r="R7" s="42">
        <f t="shared" ref="R7:R15" si="3">SUM(N7:Q7)</f>
        <v>2349</v>
      </c>
      <c r="S7" s="30">
        <f t="shared" ref="S7:S15" si="4">R7*((((N7*Q7)-(O7*P7))^2))</f>
        <v>35289910224</v>
      </c>
      <c r="T7" s="30">
        <f t="shared" ref="T7:T15" si="5">(N7+O7)*(P7+Q7)*(N7+P7)*(O7+Q7)</f>
        <v>20245720104</v>
      </c>
      <c r="U7" s="31">
        <f t="shared" ref="U7:U15" si="6">IF((S7&gt;0),S7/T7,"- -")</f>
        <v>1.7430800209980024</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76</v>
      </c>
      <c r="R8" s="42">
        <f t="shared" si="3"/>
        <v>76.05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76</v>
      </c>
      <c r="R9" s="42">
        <f t="shared" si="3"/>
        <v>76</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76</v>
      </c>
      <c r="R10" s="42">
        <f t="shared" si="3"/>
        <v>76</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76</v>
      </c>
      <c r="R11" s="42">
        <f t="shared" si="3"/>
        <v>76</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76</v>
      </c>
      <c r="R12" s="42">
        <f t="shared" si="3"/>
        <v>76</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76</v>
      </c>
      <c r="R13" s="42">
        <f t="shared" si="3"/>
        <v>76</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76</v>
      </c>
      <c r="R14" s="42">
        <f t="shared" si="3"/>
        <v>76</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76</v>
      </c>
      <c r="R15" s="42">
        <f t="shared" si="3"/>
        <v>76</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2.298</v>
      </c>
      <c r="D42" s="56">
        <f>E6/1000</f>
        <v>5.0999999999999997E-2</v>
      </c>
      <c r="E42" s="56">
        <f>MAX(C42:D42)</f>
        <v>2.298</v>
      </c>
      <c r="G42" s="1" t="str">
        <f>B42</f>
        <v>per 1000 youth</v>
      </c>
      <c r="L42" s="57">
        <v>1000</v>
      </c>
      <c r="M42" s="57"/>
      <c r="R42" s="49"/>
    </row>
    <row r="43" spans="2:18" ht="15" hidden="1" customHeight="1" x14ac:dyDescent="0.25">
      <c r="B43" s="49" t="s">
        <v>87</v>
      </c>
      <c r="C43" s="56">
        <f>C7/100</f>
        <v>0.76</v>
      </c>
      <c r="D43" s="56">
        <f>E7/100</f>
        <v>0</v>
      </c>
      <c r="E43" s="56">
        <f>MAX(C43:D43,0)</f>
        <v>0.76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2.298</v>
      </c>
      <c r="D48" s="56">
        <f>D42</f>
        <v>5.0999999999999997E-2</v>
      </c>
      <c r="E48" s="56">
        <f>MAX(C48:D48)</f>
        <v>2.298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0.76</v>
      </c>
      <c r="D49" s="49">
        <f t="shared" si="9"/>
        <v>0</v>
      </c>
      <c r="E49" s="49">
        <f>MAX(C49:D49)</f>
        <v>0.76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2.298</v>
      </c>
      <c r="D54" s="56">
        <f>D48</f>
        <v>5.0999999999999997E-2</v>
      </c>
      <c r="E54" s="56">
        <f>MAX(C54:D54)</f>
        <v>2.298</v>
      </c>
      <c r="G54" s="1" t="str">
        <f>G48</f>
        <v>per 1000 youth</v>
      </c>
      <c r="L54" s="58">
        <f>L48</f>
        <v>1000</v>
      </c>
      <c r="M54" s="58"/>
    </row>
    <row r="55" spans="2:18" ht="15" hidden="1" customHeight="1" x14ac:dyDescent="0.25">
      <c r="B55" s="49" t="str">
        <f t="shared" ref="B55:D56" si="10">IF(($E49&gt;0),B49,B48)</f>
        <v>per 100 arrests</v>
      </c>
      <c r="C55" s="49">
        <f t="shared" si="10"/>
        <v>0.76</v>
      </c>
      <c r="D55" s="49">
        <f t="shared" si="10"/>
        <v>0</v>
      </c>
      <c r="E55" s="49">
        <f>MAX(C55:D55)</f>
        <v>0.76</v>
      </c>
      <c r="G55" s="1" t="str">
        <f>G49</f>
        <v>per 100 arrests</v>
      </c>
      <c r="L55" s="58">
        <f>IF(($E49&gt;0),L49,L48)</f>
        <v>100</v>
      </c>
      <c r="M55" s="58"/>
    </row>
    <row r="56" spans="2:18" ht="15" hidden="1" customHeight="1" x14ac:dyDescent="0.25">
      <c r="B56" s="49" t="str">
        <f t="shared" si="10"/>
        <v>per 100 arrests</v>
      </c>
      <c r="C56" s="49">
        <f t="shared" si="10"/>
        <v>0.76</v>
      </c>
      <c r="D56" s="49">
        <f t="shared" si="10"/>
        <v>0</v>
      </c>
      <c r="E56" s="49">
        <f>MAX(C56:D56)</f>
        <v>0.76</v>
      </c>
      <c r="G56" s="1" t="str">
        <f>G50</f>
        <v>per 100 referrals</v>
      </c>
      <c r="L56" s="58">
        <f>IF(($E50&gt;0),L50,L49)</f>
        <v>100</v>
      </c>
      <c r="M56" s="58"/>
    </row>
    <row r="57" spans="2:18" ht="15" hidden="1" customHeight="1" x14ac:dyDescent="0.25">
      <c r="B57" s="49" t="str">
        <f>IF(($E51&gt;0),B51,B49)</f>
        <v>per 100 arrests</v>
      </c>
      <c r="C57" s="49">
        <f>IF(($E51&gt;0),C51,C50)</f>
        <v>0.76</v>
      </c>
      <c r="D57" s="49">
        <f>IF(($E51&gt;0),D51,D50)</f>
        <v>0</v>
      </c>
      <c r="E57" s="49">
        <f>MAX(C57:D57)</f>
        <v>0.76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2.298</v>
      </c>
      <c r="D60" s="56">
        <f>D54</f>
        <v>5.0999999999999997E-2</v>
      </c>
      <c r="E60" s="56">
        <f>MAX(C60:D60)</f>
        <v>2.298</v>
      </c>
      <c r="G60" s="1" t="str">
        <f>G54</f>
        <v>per 1000 youth</v>
      </c>
      <c r="L60" s="58">
        <f>L54</f>
        <v>1000</v>
      </c>
      <c r="M60" s="58"/>
    </row>
    <row r="61" spans="2:18" ht="15" hidden="1" customHeight="1" x14ac:dyDescent="0.25">
      <c r="B61" s="49" t="str">
        <f t="shared" ref="B61:D62" si="11">IF(($E55&gt;0),B55,B54)</f>
        <v>per 100 arrests</v>
      </c>
      <c r="C61" s="49">
        <f t="shared" si="11"/>
        <v>0.76</v>
      </c>
      <c r="D61" s="49">
        <f t="shared" si="11"/>
        <v>0</v>
      </c>
      <c r="E61" s="49">
        <f>MAX(C61:D61)</f>
        <v>0.76</v>
      </c>
      <c r="G61" s="1" t="str">
        <f>G55</f>
        <v>per 100 arrests</v>
      </c>
      <c r="L61" s="58">
        <f>IF(($E55&gt;0),L55,L54)</f>
        <v>100</v>
      </c>
      <c r="M61" s="58"/>
    </row>
    <row r="62" spans="2:18" ht="15" hidden="1" customHeight="1" x14ac:dyDescent="0.25">
      <c r="B62" s="49" t="str">
        <f t="shared" si="11"/>
        <v>per 100 arrests</v>
      </c>
      <c r="C62" s="49">
        <f t="shared" si="11"/>
        <v>0.76</v>
      </c>
      <c r="D62" s="49">
        <f t="shared" si="11"/>
        <v>0</v>
      </c>
      <c r="E62" s="49">
        <f>MAX(C62:D62)</f>
        <v>0.76</v>
      </c>
      <c r="G62" s="1" t="str">
        <f>G56</f>
        <v>per 100 referrals</v>
      </c>
      <c r="L62" s="58">
        <f>IF(($E56&gt;0),L56,L55)</f>
        <v>100</v>
      </c>
      <c r="M62" s="58"/>
    </row>
    <row r="63" spans="2:18" ht="15" hidden="1" customHeight="1" x14ac:dyDescent="0.25">
      <c r="B63" s="49" t="str">
        <f>IF(($E57&gt;0),B57,B55)</f>
        <v>per 100 arrests</v>
      </c>
      <c r="C63" s="49">
        <f>IF(($E57&gt;0),C57,C56)</f>
        <v>0.76</v>
      </c>
      <c r="D63" s="49">
        <f>IF(($E57&gt;0),D57,D56)</f>
        <v>0</v>
      </c>
      <c r="E63" s="49">
        <f>MAX(C63:D63)</f>
        <v>0.76</v>
      </c>
      <c r="G63" s="1" t="str">
        <f>G57</f>
        <v>per 100 youth petitioned</v>
      </c>
      <c r="L63" s="58">
        <f>IF(($E57&gt;0),L57,L56)</f>
        <v>100</v>
      </c>
      <c r="M63" s="58"/>
    </row>
    <row r="64" spans="2:18" ht="15" hidden="1" customHeight="1" x14ac:dyDescent="0.25">
      <c r="B64" s="49" t="str">
        <f>IF(($E58&gt;0),B58,B57)</f>
        <v>per 100 arrests</v>
      </c>
      <c r="C64" s="49">
        <f>IF(($E58&gt;0),C58,C57)</f>
        <v>0.76</v>
      </c>
      <c r="D64" s="49">
        <f>IF(($E58&gt;0),D58,D57)</f>
        <v>0</v>
      </c>
      <c r="E64" s="56">
        <f>MAX(C64:D64)</f>
        <v>0.76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2.298</v>
      </c>
      <c r="D66" s="56">
        <f>D60</f>
        <v>5.0999999999999997E-2</v>
      </c>
      <c r="E66" s="56">
        <f>MAX(C66:D66)</f>
        <v>2.298</v>
      </c>
      <c r="G66" s="1" t="str">
        <f>G60</f>
        <v>per 1000 youth</v>
      </c>
      <c r="L66" s="58">
        <f>L60</f>
        <v>1000</v>
      </c>
      <c r="M66" s="58">
        <f>IF((B66=G66),1,2)</f>
        <v>1</v>
      </c>
    </row>
    <row r="67" spans="2:13" ht="15" hidden="1" customHeight="1" x14ac:dyDescent="0.25">
      <c r="B67" s="49" t="str">
        <f t="shared" ref="B67:D68" si="12">IF(($E61&gt;0),B61,B60)</f>
        <v>per 100 arrests</v>
      </c>
      <c r="C67" s="49">
        <f t="shared" si="12"/>
        <v>0.76</v>
      </c>
      <c r="D67" s="49">
        <f t="shared" si="12"/>
        <v>0</v>
      </c>
      <c r="E67" s="49">
        <f>MAX(C67:D67)</f>
        <v>0.76</v>
      </c>
      <c r="G67" s="1" t="str">
        <f>G61</f>
        <v>per 100 arrests</v>
      </c>
      <c r="L67" s="58">
        <f>IF(($E61&gt;0),L61,L60)</f>
        <v>100</v>
      </c>
      <c r="M67" s="58">
        <f>IF((B67=G67),1,2)</f>
        <v>1</v>
      </c>
    </row>
    <row r="68" spans="2:13" ht="15" hidden="1" customHeight="1" x14ac:dyDescent="0.25">
      <c r="B68" s="49" t="str">
        <f t="shared" si="12"/>
        <v>per 100 arrests</v>
      </c>
      <c r="C68" s="49">
        <f t="shared" si="12"/>
        <v>0.76</v>
      </c>
      <c r="D68" s="49">
        <f t="shared" si="12"/>
        <v>0</v>
      </c>
      <c r="E68" s="49">
        <f>MAX(C68:D68)</f>
        <v>0.76</v>
      </c>
      <c r="G68" s="1" t="str">
        <f>G62</f>
        <v>per 100 referrals</v>
      </c>
      <c r="L68" s="58">
        <f>IF(($E62&gt;0),L62,L61)</f>
        <v>100</v>
      </c>
      <c r="M68" s="58">
        <f>IF((B68=G68),1,2)</f>
        <v>2</v>
      </c>
    </row>
    <row r="69" spans="2:13" ht="15" hidden="1" customHeight="1" x14ac:dyDescent="0.25">
      <c r="B69" s="49" t="str">
        <f>IF(($E63&gt;0),B63,B61)</f>
        <v>per 100 arrests</v>
      </c>
      <c r="C69" s="49">
        <f>IF(($E63&gt;0),C63,C62)</f>
        <v>0.76</v>
      </c>
      <c r="D69" s="49">
        <f>IF(($E63&gt;0),D63,D62)</f>
        <v>0</v>
      </c>
      <c r="E69" s="49">
        <f>MAX(C69:D69)</f>
        <v>0.76</v>
      </c>
      <c r="G69" s="1" t="str">
        <f>G63</f>
        <v>per 100 youth petitioned</v>
      </c>
      <c r="L69" s="58">
        <f>IF(($E63&gt;0),L63,L62)</f>
        <v>100</v>
      </c>
      <c r="M69" s="58">
        <f>IF((B69=G69),1,2)</f>
        <v>2</v>
      </c>
    </row>
    <row r="70" spans="2:13" ht="15" hidden="1" customHeight="1" x14ac:dyDescent="0.25">
      <c r="B70" s="49" t="str">
        <f>IF(($E64&gt;0),B64,B63)</f>
        <v>per 100 arrests</v>
      </c>
      <c r="C70" s="49">
        <f>IF(($E64&gt;0),C64,C63)</f>
        <v>0.76</v>
      </c>
      <c r="D70" s="49">
        <f>IF(($E64&gt;0),D64,D63)</f>
        <v>0</v>
      </c>
      <c r="E70" s="56">
        <f>MAX(C70:D70)</f>
        <v>0.76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Clare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2298</v>
      </c>
      <c r="D6" s="34"/>
      <c r="E6" s="33">
        <f>'Data Entry'!F6</f>
        <v>10</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76</v>
      </c>
      <c r="D7" s="34">
        <f>IF((AND(C66&gt;0,C7&gt;0)),(C7/C66),0)</f>
        <v>33.072236727589207</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v>
      </c>
      <c r="P7" s="42">
        <f t="shared" ref="P7:P15" si="4">C7</f>
        <v>76</v>
      </c>
      <c r="Q7" s="42">
        <f>C6-C7</f>
        <v>2222</v>
      </c>
      <c r="R7" s="42">
        <f t="shared" ref="R7:R15" si="5">SUM(N7:Q7)</f>
        <v>2308</v>
      </c>
      <c r="S7" s="30">
        <f t="shared" ref="S7:S15" si="6">R7*((((N7*Q7)-(O7*P7))^2))</f>
        <v>1333100800</v>
      </c>
      <c r="T7" s="30">
        <f t="shared" ref="T7:T15" si="7">(N7+O7)*(P7+Q7)*(N7+P7)*(O7+Q7)</f>
        <v>3898143360</v>
      </c>
      <c r="U7" s="31">
        <f t="shared" ref="U7:U15" si="8">IF((S7&gt;0),S7/T7,"- -")</f>
        <v>0.34198352315087766</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76</v>
      </c>
      <c r="R8" s="42">
        <f t="shared" si="5"/>
        <v>76.05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76</v>
      </c>
      <c r="R9" s="42">
        <f t="shared" si="5"/>
        <v>76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76</v>
      </c>
      <c r="R10" s="42">
        <f t="shared" si="5"/>
        <v>76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76</v>
      </c>
      <c r="R11" s="42">
        <f t="shared" si="5"/>
        <v>76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76</v>
      </c>
      <c r="R12" s="42">
        <f t="shared" si="5"/>
        <v>76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76</v>
      </c>
      <c r="R13" s="42">
        <f t="shared" si="5"/>
        <v>76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76</v>
      </c>
      <c r="R14" s="42">
        <f t="shared" si="5"/>
        <v>76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76</v>
      </c>
      <c r="R15" s="42">
        <f t="shared" si="5"/>
        <v>76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2.298</v>
      </c>
      <c r="D42" s="56">
        <f>E6/1000</f>
        <v>0.01</v>
      </c>
      <c r="E42" s="56">
        <f>MAX(C42:D42)</f>
        <v>2.298</v>
      </c>
      <c r="G42" s="1" t="str">
        <f>B42</f>
        <v>per 1000 youth</v>
      </c>
      <c r="L42" s="57">
        <v>1000</v>
      </c>
      <c r="M42" s="57"/>
      <c r="R42" s="49"/>
    </row>
    <row r="43" spans="2:18" ht="15" hidden="1" customHeight="1" x14ac:dyDescent="0.25">
      <c r="B43" s="49" t="s">
        <v>87</v>
      </c>
      <c r="C43" s="56">
        <f>C7/100</f>
        <v>0.76</v>
      </c>
      <c r="D43" s="56">
        <f>E7/100</f>
        <v>0</v>
      </c>
      <c r="E43" s="56">
        <f>MAX(C43:D43,0)</f>
        <v>0.76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2.298</v>
      </c>
      <c r="D48" s="56">
        <f>D42</f>
        <v>0.01</v>
      </c>
      <c r="E48" s="56">
        <f>MAX(C48:D48)</f>
        <v>2.298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0.76</v>
      </c>
      <c r="D49" s="49">
        <f t="shared" si="9"/>
        <v>0</v>
      </c>
      <c r="E49" s="49">
        <f>MAX(C49:D49)</f>
        <v>0.76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2.298</v>
      </c>
      <c r="D54" s="56">
        <f>D48</f>
        <v>0.01</v>
      </c>
      <c r="E54" s="56">
        <f>MAX(C54:D54)</f>
        <v>2.298</v>
      </c>
      <c r="G54" s="1" t="str">
        <f>G48</f>
        <v>per 1000 youth</v>
      </c>
      <c r="L54" s="58">
        <f>L48</f>
        <v>1000</v>
      </c>
      <c r="M54" s="58"/>
    </row>
    <row r="55" spans="2:18" ht="15" hidden="1" customHeight="1" x14ac:dyDescent="0.25">
      <c r="B55" s="49" t="str">
        <f t="shared" ref="B55:D56" si="10">IF(($E49&gt;0),B49,B48)</f>
        <v>per 100 arrests</v>
      </c>
      <c r="C55" s="49">
        <f t="shared" si="10"/>
        <v>0.76</v>
      </c>
      <c r="D55" s="49">
        <f t="shared" si="10"/>
        <v>0</v>
      </c>
      <c r="E55" s="49">
        <f>MAX(C55:D55)</f>
        <v>0.76</v>
      </c>
      <c r="G55" s="1" t="str">
        <f>G49</f>
        <v>per 100 arrests</v>
      </c>
      <c r="L55" s="58">
        <f>IF(($E49&gt;0),L49,L48)</f>
        <v>100</v>
      </c>
      <c r="M55" s="58"/>
    </row>
    <row r="56" spans="2:18" ht="15" hidden="1" customHeight="1" x14ac:dyDescent="0.25">
      <c r="B56" s="49" t="str">
        <f t="shared" si="10"/>
        <v>per 100 arrests</v>
      </c>
      <c r="C56" s="49">
        <f t="shared" si="10"/>
        <v>0.76</v>
      </c>
      <c r="D56" s="49">
        <f t="shared" si="10"/>
        <v>0</v>
      </c>
      <c r="E56" s="49">
        <f>MAX(C56:D56)</f>
        <v>0.76</v>
      </c>
      <c r="G56" s="1" t="str">
        <f>G50</f>
        <v>per 100 referrals</v>
      </c>
      <c r="L56" s="58">
        <f>IF(($E50&gt;0),L50,L49)</f>
        <v>100</v>
      </c>
      <c r="M56" s="58"/>
    </row>
    <row r="57" spans="2:18" ht="15" hidden="1" customHeight="1" x14ac:dyDescent="0.25">
      <c r="B57" s="49" t="str">
        <f>IF(($E51&gt;0),B51,B49)</f>
        <v>per 100 arrests</v>
      </c>
      <c r="C57" s="49">
        <f>IF(($E51&gt;0),C51,C50)</f>
        <v>0.76</v>
      </c>
      <c r="D57" s="49">
        <f>IF(($E51&gt;0),D51,D50)</f>
        <v>0</v>
      </c>
      <c r="E57" s="49">
        <f>MAX(C57:D57)</f>
        <v>0.76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2.298</v>
      </c>
      <c r="D60" s="56">
        <f>D54</f>
        <v>0.01</v>
      </c>
      <c r="E60" s="56">
        <f>MAX(C60:D60)</f>
        <v>2.298</v>
      </c>
      <c r="G60" s="1" t="str">
        <f>G54</f>
        <v>per 1000 youth</v>
      </c>
      <c r="L60" s="58">
        <f>L54</f>
        <v>1000</v>
      </c>
      <c r="M60" s="58"/>
    </row>
    <row r="61" spans="2:18" ht="15" hidden="1" customHeight="1" x14ac:dyDescent="0.25">
      <c r="B61" s="49" t="str">
        <f t="shared" ref="B61:D62" si="11">IF(($E55&gt;0),B55,B54)</f>
        <v>per 100 arrests</v>
      </c>
      <c r="C61" s="49">
        <f t="shared" si="11"/>
        <v>0.76</v>
      </c>
      <c r="D61" s="49">
        <f t="shared" si="11"/>
        <v>0</v>
      </c>
      <c r="E61" s="49">
        <f>MAX(C61:D61)</f>
        <v>0.76</v>
      </c>
      <c r="G61" s="1" t="str">
        <f>G55</f>
        <v>per 100 arrests</v>
      </c>
      <c r="L61" s="58">
        <f>IF(($E55&gt;0),L55,L54)</f>
        <v>100</v>
      </c>
      <c r="M61" s="58"/>
    </row>
    <row r="62" spans="2:18" ht="15" hidden="1" customHeight="1" x14ac:dyDescent="0.25">
      <c r="B62" s="49" t="str">
        <f t="shared" si="11"/>
        <v>per 100 arrests</v>
      </c>
      <c r="C62" s="49">
        <f t="shared" si="11"/>
        <v>0.76</v>
      </c>
      <c r="D62" s="49">
        <f t="shared" si="11"/>
        <v>0</v>
      </c>
      <c r="E62" s="49">
        <f>MAX(C62:D62)</f>
        <v>0.76</v>
      </c>
      <c r="G62" s="1" t="str">
        <f>G56</f>
        <v>per 100 referrals</v>
      </c>
      <c r="L62" s="58">
        <f>IF(($E56&gt;0),L56,L55)</f>
        <v>100</v>
      </c>
      <c r="M62" s="58"/>
    </row>
    <row r="63" spans="2:18" ht="15" hidden="1" customHeight="1" x14ac:dyDescent="0.25">
      <c r="B63" s="49" t="str">
        <f>IF(($E57&gt;0),B57,B55)</f>
        <v>per 100 arrests</v>
      </c>
      <c r="C63" s="49">
        <f>IF(($E57&gt;0),C57,C56)</f>
        <v>0.76</v>
      </c>
      <c r="D63" s="49">
        <f>IF(($E57&gt;0),D57,D56)</f>
        <v>0</v>
      </c>
      <c r="E63" s="49">
        <f>MAX(C63:D63)</f>
        <v>0.76</v>
      </c>
      <c r="G63" s="1" t="str">
        <f>G57</f>
        <v>per 100 youth petitioned</v>
      </c>
      <c r="L63" s="58">
        <f>IF(($E57&gt;0),L57,L56)</f>
        <v>100</v>
      </c>
      <c r="M63" s="58"/>
    </row>
    <row r="64" spans="2:18" ht="15" hidden="1" customHeight="1" x14ac:dyDescent="0.25">
      <c r="B64" s="49" t="str">
        <f>IF(($E58&gt;0),B58,B57)</f>
        <v>per 100 arrests</v>
      </c>
      <c r="C64" s="49">
        <f>IF(($E58&gt;0),C58,C57)</f>
        <v>0.76</v>
      </c>
      <c r="D64" s="49">
        <f>IF(($E58&gt;0),D58,D57)</f>
        <v>0</v>
      </c>
      <c r="E64" s="56">
        <f>MAX(C64:D64)</f>
        <v>0.76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2.298</v>
      </c>
      <c r="D66" s="56">
        <f>D60</f>
        <v>0.01</v>
      </c>
      <c r="E66" s="56">
        <f>MAX(C66:D66)</f>
        <v>2.298</v>
      </c>
      <c r="G66" s="1" t="str">
        <f>G60</f>
        <v>per 1000 youth</v>
      </c>
      <c r="L66" s="58">
        <f>L60</f>
        <v>1000</v>
      </c>
      <c r="M66" s="58">
        <f>IF((B66=G66),1,2)</f>
        <v>1</v>
      </c>
    </row>
    <row r="67" spans="2:13" ht="15" hidden="1" customHeight="1" x14ac:dyDescent="0.25">
      <c r="B67" s="49" t="str">
        <f t="shared" ref="B67:D68" si="12">IF(($E61&gt;0),B61,B60)</f>
        <v>per 100 arrests</v>
      </c>
      <c r="C67" s="49">
        <f t="shared" si="12"/>
        <v>0.76</v>
      </c>
      <c r="D67" s="49">
        <f t="shared" si="12"/>
        <v>0</v>
      </c>
      <c r="E67" s="49">
        <f>MAX(C67:D67)</f>
        <v>0.76</v>
      </c>
      <c r="G67" s="1" t="str">
        <f>G61</f>
        <v>per 100 arrests</v>
      </c>
      <c r="L67" s="58">
        <f>IF(($E61&gt;0),L61,L60)</f>
        <v>100</v>
      </c>
      <c r="M67" s="58">
        <f>IF((B67=G67),1,2)</f>
        <v>1</v>
      </c>
    </row>
    <row r="68" spans="2:13" ht="15" hidden="1" customHeight="1" x14ac:dyDescent="0.25">
      <c r="B68" s="49" t="str">
        <f t="shared" si="12"/>
        <v>per 100 arrests</v>
      </c>
      <c r="C68" s="49">
        <f t="shared" si="12"/>
        <v>0.76</v>
      </c>
      <c r="D68" s="49">
        <f t="shared" si="12"/>
        <v>0</v>
      </c>
      <c r="E68" s="49">
        <f>MAX(C68:D68)</f>
        <v>0.76</v>
      </c>
      <c r="G68" s="1" t="str">
        <f>G62</f>
        <v>per 100 referrals</v>
      </c>
      <c r="L68" s="58">
        <f>IF(($E62&gt;0),L62,L61)</f>
        <v>100</v>
      </c>
      <c r="M68" s="58">
        <f>IF((B68=G68),1,2)</f>
        <v>2</v>
      </c>
    </row>
    <row r="69" spans="2:13" ht="15" hidden="1" customHeight="1" x14ac:dyDescent="0.25">
      <c r="B69" s="49" t="str">
        <f>IF(($E63&gt;0),B63,B61)</f>
        <v>per 100 arrests</v>
      </c>
      <c r="C69" s="49">
        <f>IF(($E63&gt;0),C63,C62)</f>
        <v>0.76</v>
      </c>
      <c r="D69" s="49">
        <f>IF(($E63&gt;0),D63,D62)</f>
        <v>0</v>
      </c>
      <c r="E69" s="49">
        <f>MAX(C69:D69)</f>
        <v>0.76</v>
      </c>
      <c r="G69" s="1" t="str">
        <f>G63</f>
        <v>per 100 youth petitioned</v>
      </c>
      <c r="L69" s="58">
        <f>IF(($E63&gt;0),L63,L62)</f>
        <v>100</v>
      </c>
      <c r="M69" s="58">
        <f>IF((B69=G69),1,2)</f>
        <v>2</v>
      </c>
    </row>
    <row r="70" spans="2:13" ht="15" hidden="1" customHeight="1" x14ac:dyDescent="0.25">
      <c r="B70" s="49" t="str">
        <f>IF(($E64&gt;0),B64,B63)</f>
        <v>per 100 arrests</v>
      </c>
      <c r="C70" s="49">
        <f>IF(($E64&gt;0),C64,C63)</f>
        <v>0.76</v>
      </c>
      <c r="D70" s="49">
        <f>IF(($E64&gt;0),D64,D63)</f>
        <v>0</v>
      </c>
      <c r="E70" s="56">
        <f>MAX(C70:D70)</f>
        <v>0.76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Clare</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2298</v>
      </c>
      <c r="D6" s="34"/>
      <c r="E6" s="33">
        <f>'Data Entry'!E6</f>
        <v>97</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76</v>
      </c>
      <c r="D7" s="34">
        <f>IF((AND(C66&gt;0,C7&gt;0)),(C7/C66),0)</f>
        <v>33.072236727589207</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97</v>
      </c>
      <c r="P7" s="42">
        <f t="shared" ref="P7:P15" si="4">C7</f>
        <v>76</v>
      </c>
      <c r="Q7" s="42">
        <f>C6-C7</f>
        <v>2222</v>
      </c>
      <c r="R7" s="42">
        <f t="shared" ref="R7:R15" si="5">SUM(N7:Q7)</f>
        <v>2395</v>
      </c>
      <c r="S7" s="30">
        <f t="shared" ref="S7:S15" si="6">R7*((((N7*Q7)-(O7*P7))^2))</f>
        <v>130159589680</v>
      </c>
      <c r="T7" s="30">
        <f t="shared" ref="T7:T15" si="7">(N7+O7)*(P7+Q7)*(N7+P7)*(O7+Q7)</f>
        <v>39285845064</v>
      </c>
      <c r="U7" s="31">
        <f t="shared" ref="U7:U15" si="8">IF((S7&gt;0),S7/T7,"- -")</f>
        <v>3.3131421627295761</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76</v>
      </c>
      <c r="R8" s="42">
        <f t="shared" si="5"/>
        <v>76.05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76</v>
      </c>
      <c r="R9" s="42">
        <f t="shared" si="5"/>
        <v>76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76</v>
      </c>
      <c r="R10" s="42">
        <f t="shared" si="5"/>
        <v>76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76</v>
      </c>
      <c r="R11" s="42">
        <f t="shared" si="5"/>
        <v>76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76</v>
      </c>
      <c r="R12" s="42">
        <f t="shared" si="5"/>
        <v>76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76</v>
      </c>
      <c r="R13" s="42">
        <f t="shared" si="5"/>
        <v>76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76</v>
      </c>
      <c r="R14" s="42">
        <f t="shared" si="5"/>
        <v>76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76</v>
      </c>
      <c r="R15" s="42">
        <f t="shared" si="5"/>
        <v>76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2.298</v>
      </c>
      <c r="D42" s="56">
        <f>E6/1000</f>
        <v>9.7000000000000003E-2</v>
      </c>
      <c r="E42" s="56">
        <f>MAX(C42:D42)</f>
        <v>2.298</v>
      </c>
      <c r="G42" s="1" t="str">
        <f>B42</f>
        <v>per 1000 youth</v>
      </c>
      <c r="L42" s="57">
        <v>1000</v>
      </c>
      <c r="M42" s="57"/>
      <c r="R42" s="49"/>
    </row>
    <row r="43" spans="2:18" ht="15" hidden="1" customHeight="1" x14ac:dyDescent="0.25">
      <c r="B43" s="49" t="s">
        <v>87</v>
      </c>
      <c r="C43" s="56">
        <f>C7/100</f>
        <v>0.76</v>
      </c>
      <c r="D43" s="56">
        <f>E7/100</f>
        <v>0</v>
      </c>
      <c r="E43" s="56">
        <f>MAX(C43:D43,0)</f>
        <v>0.76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2.298</v>
      </c>
      <c r="D48" s="56">
        <f>D42</f>
        <v>9.7000000000000003E-2</v>
      </c>
      <c r="E48" s="56">
        <f>MAX(C48:D48)</f>
        <v>2.298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0.76</v>
      </c>
      <c r="D49" s="49">
        <f t="shared" si="9"/>
        <v>0</v>
      </c>
      <c r="E49" s="49">
        <f>MAX(C49:D49)</f>
        <v>0.76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2.298</v>
      </c>
      <c r="D54" s="56">
        <f>D48</f>
        <v>9.7000000000000003E-2</v>
      </c>
      <c r="E54" s="56">
        <f>MAX(C54:D54)</f>
        <v>2.298</v>
      </c>
      <c r="G54" s="1" t="str">
        <f>G48</f>
        <v>per 1000 youth</v>
      </c>
      <c r="L54" s="58">
        <f>L48</f>
        <v>1000</v>
      </c>
      <c r="M54" s="58"/>
    </row>
    <row r="55" spans="2:18" ht="15" hidden="1" customHeight="1" x14ac:dyDescent="0.25">
      <c r="B55" s="49" t="str">
        <f t="shared" ref="B55:D56" si="10">IF(($E49&gt;0),B49,B48)</f>
        <v>per 100 arrests</v>
      </c>
      <c r="C55" s="49">
        <f t="shared" si="10"/>
        <v>0.76</v>
      </c>
      <c r="D55" s="49">
        <f t="shared" si="10"/>
        <v>0</v>
      </c>
      <c r="E55" s="49">
        <f>MAX(C55:D55)</f>
        <v>0.76</v>
      </c>
      <c r="G55" s="1" t="str">
        <f>G49</f>
        <v>per 100 arrests</v>
      </c>
      <c r="L55" s="58">
        <f>IF(($E49&gt;0),L49,L48)</f>
        <v>100</v>
      </c>
      <c r="M55" s="58"/>
    </row>
    <row r="56" spans="2:18" ht="15" hidden="1" customHeight="1" x14ac:dyDescent="0.25">
      <c r="B56" s="49" t="str">
        <f t="shared" si="10"/>
        <v>per 100 arrests</v>
      </c>
      <c r="C56" s="49">
        <f t="shared" si="10"/>
        <v>0.76</v>
      </c>
      <c r="D56" s="49">
        <f t="shared" si="10"/>
        <v>0</v>
      </c>
      <c r="E56" s="49">
        <f>MAX(C56:D56)</f>
        <v>0.76</v>
      </c>
      <c r="G56" s="1" t="str">
        <f>G50</f>
        <v>per 100 referrals</v>
      </c>
      <c r="L56" s="58">
        <f>IF(($E50&gt;0),L50,L49)</f>
        <v>100</v>
      </c>
      <c r="M56" s="58"/>
    </row>
    <row r="57" spans="2:18" ht="15" hidden="1" customHeight="1" x14ac:dyDescent="0.25">
      <c r="B57" s="49" t="str">
        <f>IF(($E51&gt;0),B51,B49)</f>
        <v>per 100 arrests</v>
      </c>
      <c r="C57" s="49">
        <f>IF(($E51&gt;0),C51,C50)</f>
        <v>0.76</v>
      </c>
      <c r="D57" s="49">
        <f>IF(($E51&gt;0),D51,D50)</f>
        <v>0</v>
      </c>
      <c r="E57" s="49">
        <f>MAX(C57:D57)</f>
        <v>0.76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2.298</v>
      </c>
      <c r="D60" s="56">
        <f>D54</f>
        <v>9.7000000000000003E-2</v>
      </c>
      <c r="E60" s="56">
        <f>MAX(C60:D60)</f>
        <v>2.298</v>
      </c>
      <c r="G60" s="1" t="str">
        <f>G54</f>
        <v>per 1000 youth</v>
      </c>
      <c r="L60" s="58">
        <f>L54</f>
        <v>1000</v>
      </c>
      <c r="M60" s="58"/>
    </row>
    <row r="61" spans="2:18" ht="15" hidden="1" customHeight="1" x14ac:dyDescent="0.25">
      <c r="B61" s="49" t="str">
        <f t="shared" ref="B61:D62" si="11">IF(($E55&gt;0),B55,B54)</f>
        <v>per 100 arrests</v>
      </c>
      <c r="C61" s="49">
        <f t="shared" si="11"/>
        <v>0.76</v>
      </c>
      <c r="D61" s="49">
        <f t="shared" si="11"/>
        <v>0</v>
      </c>
      <c r="E61" s="49">
        <f>MAX(C61:D61)</f>
        <v>0.76</v>
      </c>
      <c r="G61" s="1" t="str">
        <f>G55</f>
        <v>per 100 arrests</v>
      </c>
      <c r="L61" s="58">
        <f>IF(($E55&gt;0),L55,L54)</f>
        <v>100</v>
      </c>
      <c r="M61" s="58"/>
    </row>
    <row r="62" spans="2:18" ht="15" hidden="1" customHeight="1" x14ac:dyDescent="0.25">
      <c r="B62" s="49" t="str">
        <f t="shared" si="11"/>
        <v>per 100 arrests</v>
      </c>
      <c r="C62" s="49">
        <f t="shared" si="11"/>
        <v>0.76</v>
      </c>
      <c r="D62" s="49">
        <f t="shared" si="11"/>
        <v>0</v>
      </c>
      <c r="E62" s="49">
        <f>MAX(C62:D62)</f>
        <v>0.76</v>
      </c>
      <c r="G62" s="1" t="str">
        <f>G56</f>
        <v>per 100 referrals</v>
      </c>
      <c r="L62" s="58">
        <f>IF(($E56&gt;0),L56,L55)</f>
        <v>100</v>
      </c>
      <c r="M62" s="58"/>
    </row>
    <row r="63" spans="2:18" ht="15" hidden="1" customHeight="1" x14ac:dyDescent="0.25">
      <c r="B63" s="49" t="str">
        <f>IF(($E57&gt;0),B57,B55)</f>
        <v>per 100 arrests</v>
      </c>
      <c r="C63" s="49">
        <f>IF(($E57&gt;0),C57,C56)</f>
        <v>0.76</v>
      </c>
      <c r="D63" s="49">
        <f>IF(($E57&gt;0),D57,D56)</f>
        <v>0</v>
      </c>
      <c r="E63" s="49">
        <f>MAX(C63:D63)</f>
        <v>0.76</v>
      </c>
      <c r="G63" s="1" t="str">
        <f>G57</f>
        <v>per 100 youth petitioned</v>
      </c>
      <c r="L63" s="58">
        <f>IF(($E57&gt;0),L57,L56)</f>
        <v>100</v>
      </c>
      <c r="M63" s="58"/>
    </row>
    <row r="64" spans="2:18" ht="15" hidden="1" customHeight="1" x14ac:dyDescent="0.25">
      <c r="B64" s="49" t="str">
        <f>IF(($E58&gt;0),B58,B57)</f>
        <v>per 100 arrests</v>
      </c>
      <c r="C64" s="49">
        <f>IF(($E58&gt;0),C58,C57)</f>
        <v>0.76</v>
      </c>
      <c r="D64" s="49">
        <f>IF(($E58&gt;0),D58,D57)</f>
        <v>0</v>
      </c>
      <c r="E64" s="56">
        <f>MAX(C64:D64)</f>
        <v>0.76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2.298</v>
      </c>
      <c r="D66" s="56">
        <f>D60</f>
        <v>9.7000000000000003E-2</v>
      </c>
      <c r="E66" s="56">
        <f>MAX(C66:D66)</f>
        <v>2.298</v>
      </c>
      <c r="G66" s="1" t="str">
        <f>G60</f>
        <v>per 1000 youth</v>
      </c>
      <c r="L66" s="58">
        <f>L60</f>
        <v>1000</v>
      </c>
      <c r="M66" s="58">
        <f>IF((B66=G66),1,2)</f>
        <v>1</v>
      </c>
    </row>
    <row r="67" spans="2:13" ht="15" hidden="1" customHeight="1" x14ac:dyDescent="0.25">
      <c r="B67" s="49" t="str">
        <f t="shared" ref="B67:D68" si="12">IF(($E61&gt;0),B61,B60)</f>
        <v>per 100 arrests</v>
      </c>
      <c r="C67" s="49">
        <f t="shared" si="12"/>
        <v>0.76</v>
      </c>
      <c r="D67" s="49">
        <f t="shared" si="12"/>
        <v>0</v>
      </c>
      <c r="E67" s="49">
        <f>MAX(C67:D67)</f>
        <v>0.76</v>
      </c>
      <c r="G67" s="1" t="str">
        <f>G61</f>
        <v>per 100 arrests</v>
      </c>
      <c r="L67" s="58">
        <f>IF(($E61&gt;0),L61,L60)</f>
        <v>100</v>
      </c>
      <c r="M67" s="58">
        <f>IF((B67=G67),1,2)</f>
        <v>1</v>
      </c>
    </row>
    <row r="68" spans="2:13" ht="15" hidden="1" customHeight="1" x14ac:dyDescent="0.25">
      <c r="B68" s="49" t="str">
        <f t="shared" si="12"/>
        <v>per 100 arrests</v>
      </c>
      <c r="C68" s="49">
        <f t="shared" si="12"/>
        <v>0.76</v>
      </c>
      <c r="D68" s="49">
        <f t="shared" si="12"/>
        <v>0</v>
      </c>
      <c r="E68" s="49">
        <f>MAX(C68:D68)</f>
        <v>0.76</v>
      </c>
      <c r="G68" s="1" t="str">
        <f>G62</f>
        <v>per 100 referrals</v>
      </c>
      <c r="L68" s="58">
        <f>IF(($E62&gt;0),L62,L61)</f>
        <v>100</v>
      </c>
      <c r="M68" s="58">
        <f>IF((B68=G68),1,2)</f>
        <v>2</v>
      </c>
    </row>
    <row r="69" spans="2:13" ht="15" hidden="1" customHeight="1" x14ac:dyDescent="0.25">
      <c r="B69" s="49" t="str">
        <f>IF(($E63&gt;0),B63,B61)</f>
        <v>per 100 arrests</v>
      </c>
      <c r="C69" s="49">
        <f>IF(($E63&gt;0),C63,C62)</f>
        <v>0.76</v>
      </c>
      <c r="D69" s="49">
        <f>IF(($E63&gt;0),D63,D62)</f>
        <v>0</v>
      </c>
      <c r="E69" s="49">
        <f>MAX(C69:D69)</f>
        <v>0.76</v>
      </c>
      <c r="G69" s="1" t="str">
        <f>G63</f>
        <v>per 100 youth petitioned</v>
      </c>
      <c r="L69" s="58">
        <f>IF(($E63&gt;0),L63,L62)</f>
        <v>100</v>
      </c>
      <c r="M69" s="58">
        <f>IF((B69=G69),1,2)</f>
        <v>2</v>
      </c>
    </row>
    <row r="70" spans="2:13" ht="15" hidden="1" customHeight="1" x14ac:dyDescent="0.25">
      <c r="B70" s="49" t="str">
        <f>IF(($E64&gt;0),B64,B63)</f>
        <v>per 100 arrests</v>
      </c>
      <c r="C70" s="49">
        <f>IF(($E64&gt;0),C64,C63)</f>
        <v>0.76</v>
      </c>
      <c r="D70" s="49">
        <f>IF(($E64&gt;0),D64,D63)</f>
        <v>0</v>
      </c>
      <c r="E70" s="56">
        <f>MAX(C70:D70)</f>
        <v>0.76</v>
      </c>
      <c r="G70" s="1" t="str">
        <f>G64</f>
        <v>per 100 youth found delinquent</v>
      </c>
      <c r="L70" s="58">
        <f>IF(($E64&gt;0),L64,L63)</f>
        <v>100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Clare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2298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76</v>
      </c>
      <c r="D7" s="34">
        <f>IF((AND(C66&gt;0,C7&gt;0)),(C7/C66),0)</f>
        <v>33.072236727589207</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76</v>
      </c>
      <c r="Q7" s="42">
        <f>C6-C7</f>
        <v>2222</v>
      </c>
      <c r="R7" s="42">
        <f t="shared" ref="R7:R15" si="5">SUM(N7:Q7)</f>
        <v>2298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76</v>
      </c>
      <c r="R8" s="42">
        <f t="shared" si="5"/>
        <v>76.05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76</v>
      </c>
      <c r="R9" s="42">
        <f t="shared" si="5"/>
        <v>76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76</v>
      </c>
      <c r="R10" s="42">
        <f t="shared" si="5"/>
        <v>76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76</v>
      </c>
      <c r="R11" s="42">
        <f t="shared" si="5"/>
        <v>76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76</v>
      </c>
      <c r="R12" s="42">
        <f t="shared" si="5"/>
        <v>76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76</v>
      </c>
      <c r="R13" s="42">
        <f t="shared" si="5"/>
        <v>76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76</v>
      </c>
      <c r="R14" s="42">
        <f t="shared" si="5"/>
        <v>76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76</v>
      </c>
      <c r="R15" s="42">
        <f t="shared" si="5"/>
        <v>76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2.298</v>
      </c>
      <c r="D42" s="56">
        <f>E6/1000</f>
        <v>0</v>
      </c>
      <c r="E42" s="56">
        <f>MAX(C42:D42)</f>
        <v>2.298</v>
      </c>
      <c r="G42" s="1" t="str">
        <f>B42</f>
        <v>per 1000 youth</v>
      </c>
      <c r="L42" s="57">
        <v>1000</v>
      </c>
      <c r="M42" s="57"/>
      <c r="R42" s="49"/>
    </row>
    <row r="43" spans="2:18" ht="15" hidden="1" customHeight="1" x14ac:dyDescent="0.25">
      <c r="B43" s="49" t="s">
        <v>87</v>
      </c>
      <c r="C43" s="56">
        <f>C7/100</f>
        <v>0.76</v>
      </c>
      <c r="D43" s="56">
        <f>E7/100</f>
        <v>0</v>
      </c>
      <c r="E43" s="56">
        <f>MAX(C43:D43,0)</f>
        <v>0.76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2.298</v>
      </c>
      <c r="D48" s="56">
        <f>D42</f>
        <v>0</v>
      </c>
      <c r="E48" s="56">
        <f>MAX(C48:D48)</f>
        <v>2.298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0.76</v>
      </c>
      <c r="D49" s="49">
        <f t="shared" si="9"/>
        <v>0</v>
      </c>
      <c r="E49" s="49">
        <f>MAX(C49:D49)</f>
        <v>0.76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2.298</v>
      </c>
      <c r="D54" s="56">
        <f>D48</f>
        <v>0</v>
      </c>
      <c r="E54" s="56">
        <f>MAX(C54:D54)</f>
        <v>2.298</v>
      </c>
      <c r="G54" s="1" t="str">
        <f>G48</f>
        <v>per 1000 youth</v>
      </c>
      <c r="L54" s="58">
        <f>L48</f>
        <v>1000</v>
      </c>
      <c r="M54" s="58"/>
    </row>
    <row r="55" spans="2:18" ht="15" hidden="1" customHeight="1" x14ac:dyDescent="0.25">
      <c r="B55" s="49" t="str">
        <f t="shared" ref="B55:D56" si="10">IF(($E49&gt;0),B49,B48)</f>
        <v>per 100 arrests</v>
      </c>
      <c r="C55" s="49">
        <f t="shared" si="10"/>
        <v>0.76</v>
      </c>
      <c r="D55" s="49">
        <f t="shared" si="10"/>
        <v>0</v>
      </c>
      <c r="E55" s="49">
        <f>MAX(C55:D55)</f>
        <v>0.76</v>
      </c>
      <c r="G55" s="1" t="str">
        <f>G49</f>
        <v>per 100 arrests</v>
      </c>
      <c r="L55" s="58">
        <f>IF(($E49&gt;0),L49,L48)</f>
        <v>100</v>
      </c>
      <c r="M55" s="58"/>
    </row>
    <row r="56" spans="2:18" ht="15" hidden="1" customHeight="1" x14ac:dyDescent="0.25">
      <c r="B56" s="49" t="str">
        <f t="shared" si="10"/>
        <v>per 100 arrests</v>
      </c>
      <c r="C56" s="49">
        <f t="shared" si="10"/>
        <v>0.76</v>
      </c>
      <c r="D56" s="49">
        <f t="shared" si="10"/>
        <v>0</v>
      </c>
      <c r="E56" s="49">
        <f>MAX(C56:D56)</f>
        <v>0.76</v>
      </c>
      <c r="G56" s="1" t="str">
        <f>G50</f>
        <v>per 100 referrals</v>
      </c>
      <c r="L56" s="58">
        <f>IF(($E50&gt;0),L50,L49)</f>
        <v>100</v>
      </c>
      <c r="M56" s="58"/>
    </row>
    <row r="57" spans="2:18" ht="15" hidden="1" customHeight="1" x14ac:dyDescent="0.25">
      <c r="B57" s="49" t="str">
        <f>IF(($E51&gt;0),B51,B49)</f>
        <v>per 100 arrests</v>
      </c>
      <c r="C57" s="49">
        <f>IF(($E51&gt;0),C51,C50)</f>
        <v>0.76</v>
      </c>
      <c r="D57" s="49">
        <f>IF(($E51&gt;0),D51,D50)</f>
        <v>0</v>
      </c>
      <c r="E57" s="49">
        <f>MAX(C57:D57)</f>
        <v>0.76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2.298</v>
      </c>
      <c r="D60" s="56">
        <f>D54</f>
        <v>0</v>
      </c>
      <c r="E60" s="56">
        <f>MAX(C60:D60)</f>
        <v>2.298</v>
      </c>
      <c r="G60" s="1" t="str">
        <f>G54</f>
        <v>per 1000 youth</v>
      </c>
      <c r="L60" s="58">
        <f>L54</f>
        <v>1000</v>
      </c>
      <c r="M60" s="58"/>
    </row>
    <row r="61" spans="2:18" ht="15" hidden="1" customHeight="1" x14ac:dyDescent="0.25">
      <c r="B61" s="49" t="str">
        <f t="shared" ref="B61:D62" si="11">IF(($E55&gt;0),B55,B54)</f>
        <v>per 100 arrests</v>
      </c>
      <c r="C61" s="49">
        <f t="shared" si="11"/>
        <v>0.76</v>
      </c>
      <c r="D61" s="49">
        <f t="shared" si="11"/>
        <v>0</v>
      </c>
      <c r="E61" s="49">
        <f>MAX(C61:D61)</f>
        <v>0.76</v>
      </c>
      <c r="G61" s="1" t="str">
        <f>G55</f>
        <v>per 100 arrests</v>
      </c>
      <c r="L61" s="58">
        <f>IF(($E55&gt;0),L55,L54)</f>
        <v>100</v>
      </c>
      <c r="M61" s="58"/>
    </row>
    <row r="62" spans="2:18" ht="15" hidden="1" customHeight="1" x14ac:dyDescent="0.25">
      <c r="B62" s="49" t="str">
        <f t="shared" si="11"/>
        <v>per 100 arrests</v>
      </c>
      <c r="C62" s="49">
        <f t="shared" si="11"/>
        <v>0.76</v>
      </c>
      <c r="D62" s="49">
        <f t="shared" si="11"/>
        <v>0</v>
      </c>
      <c r="E62" s="49">
        <f>MAX(C62:D62)</f>
        <v>0.76</v>
      </c>
      <c r="G62" s="1" t="str">
        <f>G56</f>
        <v>per 100 referrals</v>
      </c>
      <c r="L62" s="58">
        <f>IF(($E56&gt;0),L56,L55)</f>
        <v>100</v>
      </c>
      <c r="M62" s="58"/>
    </row>
    <row r="63" spans="2:18" ht="15" hidden="1" customHeight="1" x14ac:dyDescent="0.25">
      <c r="B63" s="49" t="str">
        <f>IF(($E57&gt;0),B57,B55)</f>
        <v>per 100 arrests</v>
      </c>
      <c r="C63" s="49">
        <f>IF(($E57&gt;0),C57,C56)</f>
        <v>0.76</v>
      </c>
      <c r="D63" s="49">
        <f>IF(($E57&gt;0),D57,D56)</f>
        <v>0</v>
      </c>
      <c r="E63" s="49">
        <f>MAX(C63:D63)</f>
        <v>0.76</v>
      </c>
      <c r="G63" s="1" t="str">
        <f>G57</f>
        <v>per 100 youth petitioned</v>
      </c>
      <c r="L63" s="58">
        <f>IF(($E57&gt;0),L57,L56)</f>
        <v>100</v>
      </c>
      <c r="M63" s="58"/>
    </row>
    <row r="64" spans="2:18" ht="15" hidden="1" customHeight="1" x14ac:dyDescent="0.25">
      <c r="B64" s="49" t="str">
        <f>IF(($E58&gt;0),B58,B57)</f>
        <v>per 100 arrests</v>
      </c>
      <c r="C64" s="49">
        <f>IF(($E58&gt;0),C58,C57)</f>
        <v>0.76</v>
      </c>
      <c r="D64" s="49">
        <f>IF(($E58&gt;0),D58,D57)</f>
        <v>0</v>
      </c>
      <c r="E64" s="56">
        <f>MAX(C64:D64)</f>
        <v>0.76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2.298</v>
      </c>
      <c r="D66" s="56">
        <f>D60</f>
        <v>0</v>
      </c>
      <c r="E66" s="56">
        <f>MAX(C66:D66)</f>
        <v>2.298</v>
      </c>
      <c r="G66" s="1" t="str">
        <f>G60</f>
        <v>per 1000 youth</v>
      </c>
      <c r="L66" s="58">
        <f>L60</f>
        <v>1000</v>
      </c>
      <c r="M66" s="58">
        <f>IF((B66=G66),1,2)</f>
        <v>1</v>
      </c>
    </row>
    <row r="67" spans="2:13" ht="15" hidden="1" customHeight="1" x14ac:dyDescent="0.25">
      <c r="B67" s="49" t="str">
        <f t="shared" ref="B67:D68" si="12">IF(($E61&gt;0),B61,B60)</f>
        <v>per 100 arrests</v>
      </c>
      <c r="C67" s="49">
        <f t="shared" si="12"/>
        <v>0.76</v>
      </c>
      <c r="D67" s="49">
        <f t="shared" si="12"/>
        <v>0</v>
      </c>
      <c r="E67" s="49">
        <f>MAX(C67:D67)</f>
        <v>0.76</v>
      </c>
      <c r="G67" s="1" t="str">
        <f>G61</f>
        <v>per 100 arrests</v>
      </c>
      <c r="L67" s="58">
        <f>IF(($E61&gt;0),L61,L60)</f>
        <v>100</v>
      </c>
      <c r="M67" s="58">
        <f>IF((B67=G67),1,2)</f>
        <v>1</v>
      </c>
    </row>
    <row r="68" spans="2:13" ht="15" hidden="1" customHeight="1" x14ac:dyDescent="0.25">
      <c r="B68" s="49" t="str">
        <f t="shared" si="12"/>
        <v>per 100 arrests</v>
      </c>
      <c r="C68" s="49">
        <f t="shared" si="12"/>
        <v>0.76</v>
      </c>
      <c r="D68" s="49">
        <f t="shared" si="12"/>
        <v>0</v>
      </c>
      <c r="E68" s="49">
        <f>MAX(C68:D68)</f>
        <v>0.76</v>
      </c>
      <c r="G68" s="1" t="str">
        <f>G62</f>
        <v>per 100 referrals</v>
      </c>
      <c r="L68" s="58">
        <f>IF(($E62&gt;0),L62,L61)</f>
        <v>100</v>
      </c>
      <c r="M68" s="58">
        <f>IF((B68=G68),1,2)</f>
        <v>2</v>
      </c>
    </row>
    <row r="69" spans="2:13" ht="15" hidden="1" customHeight="1" x14ac:dyDescent="0.25">
      <c r="B69" s="49" t="str">
        <f>IF(($E63&gt;0),B63,B61)</f>
        <v>per 100 arrests</v>
      </c>
      <c r="C69" s="49">
        <f>IF(($E63&gt;0),C63,C62)</f>
        <v>0.76</v>
      </c>
      <c r="D69" s="49">
        <f>IF(($E63&gt;0),D63,D62)</f>
        <v>0</v>
      </c>
      <c r="E69" s="49">
        <f>MAX(C69:D69)</f>
        <v>0.76</v>
      </c>
      <c r="G69" s="1" t="str">
        <f>G63</f>
        <v>per 100 youth petitioned</v>
      </c>
      <c r="L69" s="58">
        <f>IF(($E63&gt;0),L63,L62)</f>
        <v>100</v>
      </c>
      <c r="M69" s="58">
        <f>IF((B69=G69),1,2)</f>
        <v>2</v>
      </c>
    </row>
    <row r="70" spans="2:13" ht="15" hidden="1" customHeight="1" x14ac:dyDescent="0.25">
      <c r="B70" s="49" t="str">
        <f>IF(($E64&gt;0),B64,B63)</f>
        <v>per 100 arrests</v>
      </c>
      <c r="C70" s="49">
        <f>IF(($E64&gt;0),C64,C63)</f>
        <v>0.76</v>
      </c>
      <c r="D70" s="49">
        <f>IF(($E64&gt;0),D64,D63)</f>
        <v>0</v>
      </c>
      <c r="E70" s="56">
        <f>MAX(C70:D70)</f>
        <v>0.76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Clare</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2298</v>
      </c>
      <c r="D6" s="34"/>
      <c r="E6" s="33">
        <f>'Data Entry'!H6</f>
        <v>17</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76</v>
      </c>
      <c r="D7" s="34">
        <f>IF((AND(C66&gt;0,C7&gt;0)),(C7/C66),0)</f>
        <v>33.072236727589207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17</v>
      </c>
      <c r="P7" s="42">
        <f t="shared" ref="P7:P15" si="4">C7</f>
        <v>76</v>
      </c>
      <c r="Q7" s="42">
        <f>C6-C7</f>
        <v>2222</v>
      </c>
      <c r="R7" s="42">
        <f t="shared" ref="R7:R15" si="5">SUM(N7:Q7)</f>
        <v>2315</v>
      </c>
      <c r="S7" s="30">
        <f t="shared" ref="S7:S15" si="6">R7*((((N7*Q7)-(O7*P7))^2))</f>
        <v>3864346160</v>
      </c>
      <c r="T7" s="30">
        <f t="shared" ref="T7:T15" si="7">(N7+O7)*(P7+Q7)*(N7+P7)*(O7+Q7)</f>
        <v>6647626824</v>
      </c>
      <c r="U7" s="31">
        <f t="shared" ref="U7:U15" si="8">IF((S7&gt;0),S7/T7,"- -")</f>
        <v>0.58131213774643742</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76</v>
      </c>
      <c r="R8" s="42">
        <f t="shared" si="5"/>
        <v>76.05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76</v>
      </c>
      <c r="R9" s="42">
        <f t="shared" si="5"/>
        <v>76</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76</v>
      </c>
      <c r="R10" s="42">
        <f t="shared" si="5"/>
        <v>76</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76</v>
      </c>
      <c r="R11" s="42">
        <f t="shared" si="5"/>
        <v>76</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76</v>
      </c>
      <c r="R12" s="42">
        <f t="shared" si="5"/>
        <v>76</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76</v>
      </c>
      <c r="R13" s="42">
        <f t="shared" si="5"/>
        <v>76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76</v>
      </c>
      <c r="R14" s="42">
        <f t="shared" si="5"/>
        <v>76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76</v>
      </c>
      <c r="R15" s="42">
        <f t="shared" si="5"/>
        <v>76</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arrests</v>
      </c>
      <c r="G29" s="52"/>
      <c r="H29" s="52"/>
      <c r="I29" s="52"/>
      <c r="J29" s="52"/>
      <c r="K29" s="52"/>
      <c r="L29" s="53"/>
      <c r="R29" s="49"/>
    </row>
    <row r="30" spans="2:21" ht="15" customHeight="1" x14ac:dyDescent="0.25">
      <c r="B30" s="52" t="s">
        <v>73</v>
      </c>
      <c r="C30" s="52"/>
      <c r="D30" s="52"/>
      <c r="E30" s="52"/>
      <c r="F30" s="52" t="str">
        <f>B68</f>
        <v>per 100 arrests</v>
      </c>
      <c r="G30" s="52"/>
      <c r="H30" s="52"/>
      <c r="I30" s="52"/>
      <c r="J30" s="52"/>
      <c r="K30" s="52"/>
      <c r="L30" s="53"/>
      <c r="N30" s="1" t="b">
        <f>ISNUMBER(J14)</f>
        <v>0</v>
      </c>
      <c r="R30" s="49"/>
    </row>
    <row r="31" spans="2:21" ht="15" customHeight="1" x14ac:dyDescent="0.25">
      <c r="B31" s="52" t="s">
        <v>74</v>
      </c>
      <c r="C31" s="52"/>
      <c r="D31" s="52"/>
      <c r="E31" s="52"/>
      <c r="F31" s="52" t="str">
        <f>B68</f>
        <v>per 100 arrests</v>
      </c>
      <c r="G31" s="52"/>
      <c r="H31" s="52"/>
      <c r="I31" s="52"/>
      <c r="J31" s="52"/>
      <c r="K31" s="52"/>
      <c r="L31" s="53"/>
      <c r="R31" s="49"/>
    </row>
    <row r="32" spans="2:21" ht="15" customHeight="1" x14ac:dyDescent="0.25">
      <c r="B32" s="52" t="s">
        <v>75</v>
      </c>
      <c r="C32" s="52"/>
      <c r="D32" s="52"/>
      <c r="E32" s="52"/>
      <c r="F32" s="52" t="str">
        <f>B69</f>
        <v>per 100 arrests</v>
      </c>
      <c r="G32" s="52"/>
      <c r="H32" s="52"/>
      <c r="I32" s="52"/>
      <c r="J32" s="52"/>
      <c r="K32" s="52"/>
      <c r="L32" s="53"/>
      <c r="R32" s="49"/>
    </row>
    <row r="33" spans="2:18" ht="15" customHeight="1" x14ac:dyDescent="0.25">
      <c r="B33" s="52" t="s">
        <v>76</v>
      </c>
      <c r="C33" s="52"/>
      <c r="D33" s="52"/>
      <c r="E33" s="52"/>
      <c r="F33" s="52" t="str">
        <f>B70</f>
        <v>per 100 arrests</v>
      </c>
      <c r="G33" s="52"/>
      <c r="H33" s="52"/>
      <c r="I33" s="52"/>
      <c r="J33" s="52"/>
      <c r="K33" s="52"/>
      <c r="L33" s="53"/>
      <c r="R33" s="49"/>
    </row>
    <row r="34" spans="2:18" ht="15" customHeight="1" x14ac:dyDescent="0.25">
      <c r="B34" s="52" t="s">
        <v>77</v>
      </c>
      <c r="C34" s="52"/>
      <c r="D34" s="52"/>
      <c r="E34" s="52"/>
      <c r="F34" s="52" t="str">
        <f>B70</f>
        <v>per 100 arrests</v>
      </c>
      <c r="G34" s="52"/>
      <c r="H34" s="52"/>
      <c r="I34" s="52"/>
      <c r="J34" s="52"/>
      <c r="K34" s="52"/>
      <c r="L34" s="53"/>
      <c r="R34" s="49"/>
    </row>
    <row r="35" spans="2:18" ht="15" customHeight="1" x14ac:dyDescent="0.25">
      <c r="B35" s="52" t="s">
        <v>78</v>
      </c>
      <c r="C35" s="52"/>
      <c r="D35" s="52"/>
      <c r="E35" s="52"/>
      <c r="F35" s="52" t="str">
        <f>B69</f>
        <v>per 100 arrests</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2.298</v>
      </c>
      <c r="D42" s="56">
        <f>E6/1000</f>
        <v>1.7000000000000001E-2</v>
      </c>
      <c r="E42" s="56">
        <f>MAX(C42:D42)</f>
        <v>2.298</v>
      </c>
      <c r="G42" s="1" t="str">
        <f>B42</f>
        <v>per 1000 youth</v>
      </c>
      <c r="L42" s="57">
        <v>1000</v>
      </c>
      <c r="M42" s="57"/>
      <c r="R42" s="49"/>
    </row>
    <row r="43" spans="2:18" ht="15" hidden="1" customHeight="1" x14ac:dyDescent="0.25">
      <c r="B43" s="49" t="s">
        <v>87</v>
      </c>
      <c r="C43" s="56">
        <f>C7/100</f>
        <v>0.76</v>
      </c>
      <c r="D43" s="56">
        <f>E7/100</f>
        <v>0</v>
      </c>
      <c r="E43" s="56">
        <f>MAX(C43:D43,0)</f>
        <v>0.76</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2.298</v>
      </c>
      <c r="D48" s="56">
        <f>D42</f>
        <v>1.7000000000000001E-2</v>
      </c>
      <c r="E48" s="56">
        <f>MAX(C48:D48)</f>
        <v>2.298</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0.76</v>
      </c>
      <c r="D49" s="49">
        <f t="shared" si="9"/>
        <v>0</v>
      </c>
      <c r="E49" s="49">
        <f>MAX(C49:D49)</f>
        <v>0.76</v>
      </c>
      <c r="G49" s="1" t="str">
        <f>G43</f>
        <v>per 100 arrests</v>
      </c>
      <c r="L49" s="58">
        <f>IF(($E43&gt;0),L43,L42)</f>
        <v>100</v>
      </c>
      <c r="M49" s="58"/>
      <c r="N49" s="21"/>
      <c r="O49" s="21"/>
      <c r="P49" s="21"/>
      <c r="Q49" s="21"/>
      <c r="R49" s="21"/>
    </row>
    <row r="50" spans="2:18" ht="15" hidden="1" customHeight="1" x14ac:dyDescent="0.25">
      <c r="B50" s="49" t="str">
        <f t="shared" si="9"/>
        <v>per 100 arrests</v>
      </c>
      <c r="C50" s="49">
        <f t="shared" si="9"/>
        <v>0.76</v>
      </c>
      <c r="D50" s="49">
        <f t="shared" si="9"/>
        <v>0</v>
      </c>
      <c r="E50" s="49">
        <f>MAX(C50:D50)</f>
        <v>0.76</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2.298</v>
      </c>
      <c r="D54" s="56">
        <f>D48</f>
        <v>1.7000000000000001E-2</v>
      </c>
      <c r="E54" s="56">
        <f>MAX(C54:D54)</f>
        <v>2.298</v>
      </c>
      <c r="G54" s="1" t="str">
        <f>G48</f>
        <v>per 1000 youth</v>
      </c>
      <c r="L54" s="58">
        <f>L48</f>
        <v>1000</v>
      </c>
      <c r="M54" s="58"/>
    </row>
    <row r="55" spans="2:18" ht="15" hidden="1" customHeight="1" x14ac:dyDescent="0.25">
      <c r="B55" s="49" t="str">
        <f t="shared" ref="B55:D56" si="10">IF(($E49&gt;0),B49,B48)</f>
        <v>per 100 arrests</v>
      </c>
      <c r="C55" s="49">
        <f t="shared" si="10"/>
        <v>0.76</v>
      </c>
      <c r="D55" s="49">
        <f t="shared" si="10"/>
        <v>0</v>
      </c>
      <c r="E55" s="49">
        <f>MAX(C55:D55)</f>
        <v>0.76</v>
      </c>
      <c r="G55" s="1" t="str">
        <f>G49</f>
        <v>per 100 arrests</v>
      </c>
      <c r="L55" s="58">
        <f>IF(($E49&gt;0),L49,L48)</f>
        <v>100</v>
      </c>
      <c r="M55" s="58"/>
    </row>
    <row r="56" spans="2:18" ht="15" hidden="1" customHeight="1" x14ac:dyDescent="0.25">
      <c r="B56" s="49" t="str">
        <f t="shared" si="10"/>
        <v>per 100 arrests</v>
      </c>
      <c r="C56" s="49">
        <f t="shared" si="10"/>
        <v>0.76</v>
      </c>
      <c r="D56" s="49">
        <f t="shared" si="10"/>
        <v>0</v>
      </c>
      <c r="E56" s="49">
        <f>MAX(C56:D56)</f>
        <v>0.76</v>
      </c>
      <c r="G56" s="1" t="str">
        <f>G50</f>
        <v>per 100 referrals</v>
      </c>
      <c r="L56" s="58">
        <f>IF(($E50&gt;0),L50,L49)</f>
        <v>100</v>
      </c>
      <c r="M56" s="58"/>
    </row>
    <row r="57" spans="2:18" ht="15" hidden="1" customHeight="1" x14ac:dyDescent="0.25">
      <c r="B57" s="49" t="str">
        <f>IF(($E51&gt;0),B51,B49)</f>
        <v>per 100 arrests</v>
      </c>
      <c r="C57" s="49">
        <f>IF(($E51&gt;0),C51,C50)</f>
        <v>0.76</v>
      </c>
      <c r="D57" s="49">
        <f>IF(($E51&gt;0),D51,D50)</f>
        <v>0</v>
      </c>
      <c r="E57" s="49">
        <f>MAX(C57:D57)</f>
        <v>0.76</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2.298</v>
      </c>
      <c r="D60" s="56">
        <f>D54</f>
        <v>1.7000000000000001E-2</v>
      </c>
      <c r="E60" s="56">
        <f>MAX(C60:D60)</f>
        <v>2.298</v>
      </c>
      <c r="G60" s="1" t="str">
        <f>G54</f>
        <v>per 1000 youth</v>
      </c>
      <c r="L60" s="58">
        <f>L54</f>
        <v>1000</v>
      </c>
      <c r="M60" s="58"/>
    </row>
    <row r="61" spans="2:18" ht="15" hidden="1" customHeight="1" x14ac:dyDescent="0.25">
      <c r="B61" s="49" t="str">
        <f t="shared" ref="B61:D62" si="11">IF(($E55&gt;0),B55,B54)</f>
        <v>per 100 arrests</v>
      </c>
      <c r="C61" s="49">
        <f t="shared" si="11"/>
        <v>0.76</v>
      </c>
      <c r="D61" s="49">
        <f t="shared" si="11"/>
        <v>0</v>
      </c>
      <c r="E61" s="49">
        <f>MAX(C61:D61)</f>
        <v>0.76</v>
      </c>
      <c r="G61" s="1" t="str">
        <f>G55</f>
        <v>per 100 arrests</v>
      </c>
      <c r="L61" s="58">
        <f>IF(($E55&gt;0),L55,L54)</f>
        <v>100</v>
      </c>
      <c r="M61" s="58"/>
    </row>
    <row r="62" spans="2:18" ht="15" hidden="1" customHeight="1" x14ac:dyDescent="0.25">
      <c r="B62" s="49" t="str">
        <f t="shared" si="11"/>
        <v>per 100 arrests</v>
      </c>
      <c r="C62" s="49">
        <f t="shared" si="11"/>
        <v>0.76</v>
      </c>
      <c r="D62" s="49">
        <f t="shared" si="11"/>
        <v>0</v>
      </c>
      <c r="E62" s="49">
        <f>MAX(C62:D62)</f>
        <v>0.76</v>
      </c>
      <c r="G62" s="1" t="str">
        <f>G56</f>
        <v>per 100 referrals</v>
      </c>
      <c r="L62" s="58">
        <f>IF(($E56&gt;0),L56,L55)</f>
        <v>100</v>
      </c>
      <c r="M62" s="58"/>
    </row>
    <row r="63" spans="2:18" ht="15" hidden="1" customHeight="1" x14ac:dyDescent="0.25">
      <c r="B63" s="49" t="str">
        <f>IF(($E57&gt;0),B57,B55)</f>
        <v>per 100 arrests</v>
      </c>
      <c r="C63" s="49">
        <f>IF(($E57&gt;0),C57,C56)</f>
        <v>0.76</v>
      </c>
      <c r="D63" s="49">
        <f>IF(($E57&gt;0),D57,D56)</f>
        <v>0</v>
      </c>
      <c r="E63" s="49">
        <f>MAX(C63:D63)</f>
        <v>0.76</v>
      </c>
      <c r="G63" s="1" t="str">
        <f>G57</f>
        <v>per 100 youth petitioned</v>
      </c>
      <c r="L63" s="58">
        <f>IF(($E57&gt;0),L57,L56)</f>
        <v>100</v>
      </c>
      <c r="M63" s="58"/>
    </row>
    <row r="64" spans="2:18" ht="15" hidden="1" customHeight="1" x14ac:dyDescent="0.25">
      <c r="B64" s="49" t="str">
        <f>IF(($E58&gt;0),B58,B57)</f>
        <v>per 100 arrests</v>
      </c>
      <c r="C64" s="49">
        <f>IF(($E58&gt;0),C58,C57)</f>
        <v>0.76</v>
      </c>
      <c r="D64" s="49">
        <f>IF(($E58&gt;0),D58,D57)</f>
        <v>0</v>
      </c>
      <c r="E64" s="56">
        <f>MAX(C64:D64)</f>
        <v>0.76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2.298</v>
      </c>
      <c r="D66" s="56">
        <f>D60</f>
        <v>1.7000000000000001E-2</v>
      </c>
      <c r="E66" s="56">
        <f>MAX(C66:D66)</f>
        <v>2.298</v>
      </c>
      <c r="G66" s="1" t="str">
        <f>G60</f>
        <v>per 1000 youth</v>
      </c>
      <c r="L66" s="58">
        <f>L60</f>
        <v>1000</v>
      </c>
      <c r="M66" s="58">
        <f>IF((B66=G66),1,2)</f>
        <v>1</v>
      </c>
    </row>
    <row r="67" spans="2:13" ht="15" hidden="1" customHeight="1" x14ac:dyDescent="0.25">
      <c r="B67" s="49" t="str">
        <f t="shared" ref="B67:D68" si="12">IF(($E61&gt;0),B61,B60)</f>
        <v>per 100 arrests</v>
      </c>
      <c r="C67" s="49">
        <f t="shared" si="12"/>
        <v>0.76</v>
      </c>
      <c r="D67" s="49">
        <f t="shared" si="12"/>
        <v>0</v>
      </c>
      <c r="E67" s="49">
        <f>MAX(C67:D67)</f>
        <v>0.76</v>
      </c>
      <c r="G67" s="1" t="str">
        <f>G61</f>
        <v>per 100 arrests</v>
      </c>
      <c r="L67" s="58">
        <f>IF(($E61&gt;0),L61,L60)</f>
        <v>100</v>
      </c>
      <c r="M67" s="58">
        <f>IF((B67=G67),1,2)</f>
        <v>1</v>
      </c>
    </row>
    <row r="68" spans="2:13" ht="15" hidden="1" customHeight="1" x14ac:dyDescent="0.25">
      <c r="B68" s="49" t="str">
        <f t="shared" si="12"/>
        <v>per 100 arrests</v>
      </c>
      <c r="C68" s="49">
        <f t="shared" si="12"/>
        <v>0.76</v>
      </c>
      <c r="D68" s="49">
        <f t="shared" si="12"/>
        <v>0</v>
      </c>
      <c r="E68" s="49">
        <f>MAX(C68:D68)</f>
        <v>0.76</v>
      </c>
      <c r="G68" s="1" t="str">
        <f>G62</f>
        <v>per 100 referrals</v>
      </c>
      <c r="L68" s="58">
        <f>IF(($E62&gt;0),L62,L61)</f>
        <v>100</v>
      </c>
      <c r="M68" s="58">
        <f>IF((B68=G68),1,2)</f>
        <v>2</v>
      </c>
    </row>
    <row r="69" spans="2:13" ht="15" hidden="1" customHeight="1" x14ac:dyDescent="0.25">
      <c r="B69" s="49" t="str">
        <f>IF(($E63&gt;0),B63,B61)</f>
        <v>per 100 arrests</v>
      </c>
      <c r="C69" s="49">
        <f>IF(($E63&gt;0),C63,C62)</f>
        <v>0.76</v>
      </c>
      <c r="D69" s="49">
        <f>IF(($E63&gt;0),D63,D62)</f>
        <v>0</v>
      </c>
      <c r="E69" s="49">
        <f>MAX(C69:D69)</f>
        <v>0.76</v>
      </c>
      <c r="G69" s="1" t="str">
        <f>G63</f>
        <v>per 100 youth petitioned</v>
      </c>
      <c r="L69" s="58">
        <f>IF(($E63&gt;0),L63,L62)</f>
        <v>100</v>
      </c>
      <c r="M69" s="58">
        <f>IF((B69=G69),1,2)</f>
        <v>2</v>
      </c>
    </row>
    <row r="70" spans="2:13" ht="15" hidden="1" customHeight="1" x14ac:dyDescent="0.25">
      <c r="B70" s="49" t="str">
        <f>IF(($E64&gt;0),B64,B63)</f>
        <v>per 100 arrests</v>
      </c>
      <c r="C70" s="49">
        <f>IF(($E64&gt;0),C64,C63)</f>
        <v>0.76</v>
      </c>
      <c r="D70" s="49">
        <f>IF(($E64&gt;0),D64,D63)</f>
        <v>0</v>
      </c>
      <c r="E70" s="56">
        <f>MAX(C70:D70)</f>
        <v>0.76</v>
      </c>
      <c r="G70" s="1" t="str">
        <f>G64</f>
        <v>per 100 youth found delinquent</v>
      </c>
      <c r="L70" s="58">
        <f>IF(($E64&gt;0),L64,L63)</f>
        <v>100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U47JMPN4QEAR-1806752177-30164</_dlc_DocId>
    <_dlc_DocIdUrl xmlns="ac3811b5-0f3e-49e2-ba69-f2ffa0c782af">
      <Url>https://michiganphi.sharepoint.com/sites/CMDMC/_layouts/15/DocIdRedir.aspx?ID=U47JMPN4QEAR-1806752177-30164</Url>
      <Description>U47JMPN4QEAR-1806752177-30164</Description>
    </_dlc_DocIdUrl>
  </documentManagement>
</p:properties>
</file>

<file path=customXml/itemProps1.xml><?xml version="1.0" encoding="utf-8"?>
<ds:datastoreItem xmlns:ds="http://schemas.openxmlformats.org/officeDocument/2006/customXml" ds:itemID="{83B67721-C3EF-47EF-AF00-742039A41C7F}"/>
</file>

<file path=customXml/itemProps2.xml><?xml version="1.0" encoding="utf-8"?>
<ds:datastoreItem xmlns:ds="http://schemas.openxmlformats.org/officeDocument/2006/customXml" ds:itemID="{D5C65A8D-32B0-44BD-A191-FCC6946BC6D8}"/>
</file>

<file path=customXml/itemProps3.xml><?xml version="1.0" encoding="utf-8"?>
<ds:datastoreItem xmlns:ds="http://schemas.openxmlformats.org/officeDocument/2006/customXml" ds:itemID="{7A55F72D-5F9C-42B1-AB45-8A64D1043724}"/>
</file>

<file path=customXml/itemProps4.xml><?xml version="1.0" encoding="utf-8"?>
<ds:datastoreItem xmlns:ds="http://schemas.openxmlformats.org/officeDocument/2006/customXml" ds:itemID="{D4840A54-EE77-40F8-A54A-D6D2105F66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562208e5-e8ce-4196-85ca-4c46557a86b8</vt:lpwstr>
  </property>
</Properties>
</file>