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57DE2E73-D8FE-4B66-9367-A65BA905FBCA}"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7"/>
  <c r="F27" i="7"/>
  <c r="F27" i="5"/>
  <c r="M66" i="5"/>
  <c r="M66" i="3"/>
  <c r="F27" i="3"/>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B64" i="5"/>
  <c r="L56" i="8"/>
  <c r="E58" i="8"/>
  <c r="L64" i="8" s="1"/>
  <c r="L64" i="5"/>
  <c r="C57" i="8"/>
  <c r="D64" i="5"/>
  <c r="E64" i="5"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E57" i="8"/>
  <c r="L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70" i="3" l="1"/>
  <c r="D14" i="3" s="1"/>
  <c r="E64" i="8"/>
  <c r="L70" i="8" s="1"/>
  <c r="D63" i="8"/>
  <c r="C69" i="7"/>
  <c r="D12" i="7" s="1"/>
  <c r="C63" i="8"/>
  <c r="B63" i="8"/>
  <c r="D70" i="6"/>
  <c r="F13" i="6" s="1"/>
  <c r="L70" i="3"/>
  <c r="B70" i="3"/>
  <c r="M70" i="3" s="1"/>
  <c r="L70" i="6"/>
  <c r="L69" i="7"/>
  <c r="C70" i="6"/>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D13" i="3"/>
  <c r="Q9" i="3"/>
  <c r="O10" i="3"/>
  <c r="E68" i="3"/>
  <c r="O9" i="3"/>
  <c r="F31" i="3"/>
  <c r="F29" i="3"/>
  <c r="D14" i="4"/>
  <c r="L70" i="7"/>
  <c r="O14" i="7" s="1"/>
  <c r="E70" i="3"/>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3" l="1"/>
  <c r="M69" i="3" s="1"/>
  <c r="Q13" i="3"/>
  <c r="B70" i="8"/>
  <c r="M70" i="8" s="1"/>
  <c r="C70" i="8"/>
  <c r="Q13" i="8" s="1"/>
  <c r="D70" i="8"/>
  <c r="F13" i="8" s="1"/>
  <c r="B69" i="6"/>
  <c r="M69" i="6" s="1"/>
  <c r="O13" i="3"/>
  <c r="Q14" i="3"/>
  <c r="E63" i="8"/>
  <c r="D69" i="8" s="1"/>
  <c r="F15" i="8" s="1"/>
  <c r="D15" i="7"/>
  <c r="E69" i="7"/>
  <c r="F34" i="3"/>
  <c r="D12" i="3"/>
  <c r="Q12" i="7"/>
  <c r="L69" i="3"/>
  <c r="Q12" i="3" s="1"/>
  <c r="F33" i="3"/>
  <c r="Q15" i="7"/>
  <c r="F14" i="6"/>
  <c r="O13" i="6"/>
  <c r="E70" i="6"/>
  <c r="O14" i="6"/>
  <c r="F14" i="3"/>
  <c r="C69" i="6"/>
  <c r="D12" i="6" s="1"/>
  <c r="D13" i="6"/>
  <c r="F12" i="7"/>
  <c r="O12" i="7"/>
  <c r="D14" i="6"/>
  <c r="O15" i="7"/>
  <c r="Q13" i="6"/>
  <c r="Q14" i="6"/>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C69" i="8"/>
  <c r="F15" i="3"/>
  <c r="R13" i="4"/>
  <c r="S13" i="4" s="1"/>
  <c r="U13" i="4" s="1"/>
  <c r="J13" i="4" s="1"/>
  <c r="K9" i="4"/>
  <c r="R9" i="4"/>
  <c r="S9" i="4" s="1"/>
  <c r="U9" i="4" s="1"/>
  <c r="J9" i="4" s="1"/>
  <c r="M9" i="4" s="1"/>
  <c r="G9" i="4" s="1"/>
  <c r="G10" i="16" s="1"/>
  <c r="F32" i="2"/>
  <c r="R10" i="3"/>
  <c r="S10" i="3" s="1"/>
  <c r="U10" i="3" s="1"/>
  <c r="J10" i="3" s="1"/>
  <c r="M10" i="3" s="1"/>
  <c r="G10" i="3" s="1"/>
  <c r="I11" i="16" s="1"/>
  <c r="F8" i="2"/>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R14" i="5"/>
  <c r="S14" i="5" s="1"/>
  <c r="U14" i="5" s="1"/>
  <c r="J14" i="5" s="1"/>
  <c r="M14" i="5" s="1"/>
  <c r="C70" i="2"/>
  <c r="D14" i="2" s="1"/>
  <c r="T14" i="5"/>
  <c r="D13" i="8"/>
  <c r="K14" i="5"/>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3" l="1"/>
  <c r="S13" i="3" s="1"/>
  <c r="U13" i="3" s="1"/>
  <c r="J13" i="3" s="1"/>
  <c r="F12" i="8"/>
  <c r="F34" i="8"/>
  <c r="K12" i="7"/>
  <c r="R14" i="3"/>
  <c r="S14" i="3" s="1"/>
  <c r="U14" i="3" s="1"/>
  <c r="J14" i="3" s="1"/>
  <c r="M14" i="3" s="1"/>
  <c r="G14" i="3" s="1"/>
  <c r="I15" i="16" s="1"/>
  <c r="E70" i="8"/>
  <c r="O13" i="8"/>
  <c r="R13" i="8" s="1"/>
  <c r="S13" i="8" s="1"/>
  <c r="F33" i="8"/>
  <c r="F32" i="6"/>
  <c r="F35" i="6"/>
  <c r="O12" i="6"/>
  <c r="O14" i="8"/>
  <c r="R14" i="8" s="1"/>
  <c r="S14" i="8" s="1"/>
  <c r="T13" i="3"/>
  <c r="K13" i="3"/>
  <c r="L13" i="3" s="1"/>
  <c r="P14" i="16" s="1"/>
  <c r="B69" i="8"/>
  <c r="M69" i="8" s="1"/>
  <c r="L69" i="8"/>
  <c r="O15" i="8" s="1"/>
  <c r="T15" i="7"/>
  <c r="R12" i="7"/>
  <c r="S12" i="7" s="1"/>
  <c r="U12" i="7" s="1"/>
  <c r="J12" i="7" s="1"/>
  <c r="M12" i="7" s="1"/>
  <c r="O15" i="3"/>
  <c r="Q15" i="3"/>
  <c r="O12" i="3"/>
  <c r="R12" i="3" s="1"/>
  <c r="S12" i="3" s="1"/>
  <c r="U12" i="3" s="1"/>
  <c r="J12" i="3" s="1"/>
  <c r="D15" i="6"/>
  <c r="R15" i="7"/>
  <c r="S15" i="7" s="1"/>
  <c r="U15" i="7" s="1"/>
  <c r="J15" i="7" s="1"/>
  <c r="M15" i="7" s="1"/>
  <c r="K14" i="6"/>
  <c r="T13" i="6"/>
  <c r="T12" i="7"/>
  <c r="T14" i="6"/>
  <c r="R14" i="6"/>
  <c r="S14" i="6" s="1"/>
  <c r="R13" i="6"/>
  <c r="S13" i="6" s="1"/>
  <c r="K13" i="6"/>
  <c r="E69" i="6"/>
  <c r="K14" i="3"/>
  <c r="T14" i="3"/>
  <c r="K15" i="7"/>
  <c r="O15" i="6"/>
  <c r="Q12" i="6"/>
  <c r="Q15" i="6"/>
  <c r="F15" i="6"/>
  <c r="L13" i="4"/>
  <c r="O14" i="16" s="1"/>
  <c r="L11" i="4"/>
  <c r="O12" i="16" s="1"/>
  <c r="K8" i="7"/>
  <c r="O13" i="2"/>
  <c r="T8" i="7"/>
  <c r="U8" i="7" s="1"/>
  <c r="J8" i="7" s="1"/>
  <c r="M8" i="7" s="1"/>
  <c r="T13" i="7"/>
  <c r="Q10" i="7"/>
  <c r="F13" i="2"/>
  <c r="Q11" i="7"/>
  <c r="R8" i="6"/>
  <c r="S8" i="6" s="1"/>
  <c r="F14" i="2"/>
  <c r="E69" i="8"/>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6" l="1"/>
  <c r="K14" i="8"/>
  <c r="K13" i="8"/>
  <c r="T13" i="8"/>
  <c r="U13" i="8" s="1"/>
  <c r="J13" i="8" s="1"/>
  <c r="M13" i="8" s="1"/>
  <c r="K15" i="3"/>
  <c r="U13" i="6"/>
  <c r="J13" i="6" s="1"/>
  <c r="M13" i="6" s="1"/>
  <c r="G13" i="6" s="1"/>
  <c r="M14" i="13" s="1"/>
  <c r="K12" i="3"/>
  <c r="L12" i="3" s="1"/>
  <c r="P13" i="16" s="1"/>
  <c r="U14" i="6"/>
  <c r="J14" i="6" s="1"/>
  <c r="M14" i="6" s="1"/>
  <c r="G14" i="6" s="1"/>
  <c r="M15" i="13" s="1"/>
  <c r="L14" i="3"/>
  <c r="P15" i="16" s="1"/>
  <c r="E14" i="9"/>
  <c r="I15" i="13"/>
  <c r="N30" i="3"/>
  <c r="T14" i="8"/>
  <c r="U14" i="8" s="1"/>
  <c r="J14" i="8" s="1"/>
  <c r="N30" i="8" s="1"/>
  <c r="F35" i="8"/>
  <c r="F32" i="8"/>
  <c r="L12" i="7"/>
  <c r="S13" i="16" s="1"/>
  <c r="L15" i="7"/>
  <c r="S16" i="16" s="1"/>
  <c r="Q12" i="8"/>
  <c r="O12" i="8"/>
  <c r="Q15" i="8"/>
  <c r="R15" i="8" s="1"/>
  <c r="S15" i="8" s="1"/>
  <c r="U15" i="8" s="1"/>
  <c r="J15" i="8" s="1"/>
  <c r="R15" i="3"/>
  <c r="S15" i="3" s="1"/>
  <c r="U15" i="3" s="1"/>
  <c r="J15" i="3" s="1"/>
  <c r="M15" i="3" s="1"/>
  <c r="G15" i="3" s="1"/>
  <c r="I16" i="16" s="1"/>
  <c r="T15" i="3"/>
  <c r="T12" i="3"/>
  <c r="T15" i="6"/>
  <c r="K15" i="6"/>
  <c r="R12" i="6"/>
  <c r="S12" i="6" s="1"/>
  <c r="R15" i="6"/>
  <c r="S15" i="6" s="1"/>
  <c r="U15" i="6" s="1"/>
  <c r="J15" i="6" s="1"/>
  <c r="T12" i="6"/>
  <c r="M13" i="9"/>
  <c r="U14" i="13"/>
  <c r="U12" i="13"/>
  <c r="M11" i="9"/>
  <c r="T13" i="2"/>
  <c r="U8" i="6"/>
  <c r="J8" i="6" s="1"/>
  <c r="M8" i="6" s="1"/>
  <c r="G8" i="6" s="1"/>
  <c r="M9" i="13" s="1"/>
  <c r="R13" i="2"/>
  <c r="S13" i="2" s="1"/>
  <c r="V11" i="13"/>
  <c r="R10" i="7"/>
  <c r="S10" i="7" s="1"/>
  <c r="U10" i="7" s="1"/>
  <c r="J10" i="7" s="1"/>
  <c r="T11" i="7"/>
  <c r="T10" i="7"/>
  <c r="L8" i="2"/>
  <c r="N9" i="16" s="1"/>
  <c r="K13" i="2"/>
  <c r="R15" i="5"/>
  <c r="S15" i="5" s="1"/>
  <c r="U15" i="5" s="1"/>
  <c r="J15" i="5" s="1"/>
  <c r="M15" i="5" s="1"/>
  <c r="K11" i="7"/>
  <c r="T9" i="7"/>
  <c r="N10" i="9"/>
  <c r="R11" i="7"/>
  <c r="S11" i="7" s="1"/>
  <c r="U11" i="7" s="1"/>
  <c r="J11" i="7" s="1"/>
  <c r="K12" i="5"/>
  <c r="L12" i="5" s="1"/>
  <c r="Q13" i="16" s="1"/>
  <c r="T12" i="5"/>
  <c r="K10" i="7"/>
  <c r="R14" i="2"/>
  <c r="S14" i="2"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3" i="8" l="1"/>
  <c r="K14" i="16" s="1"/>
  <c r="N30" i="6"/>
  <c r="L13" i="8"/>
  <c r="T14" i="16" s="1"/>
  <c r="L14" i="6"/>
  <c r="R15" i="16" s="1"/>
  <c r="I13" i="9"/>
  <c r="Y16" i="13"/>
  <c r="L13" i="6"/>
  <c r="R14" i="16" s="1"/>
  <c r="K15" i="8"/>
  <c r="L15" i="8" s="1"/>
  <c r="T16" i="16" s="1"/>
  <c r="G13" i="9"/>
  <c r="G14" i="9"/>
  <c r="U13" i="2"/>
  <c r="J13" i="2" s="1"/>
  <c r="M13" i="2" s="1"/>
  <c r="G13" i="2" s="1"/>
  <c r="E14" i="16" s="1"/>
  <c r="I16" i="13"/>
  <c r="V15" i="13"/>
  <c r="U14" i="2"/>
  <c r="J14" i="2" s="1"/>
  <c r="M14" i="2" s="1"/>
  <c r="G14" i="2" s="1"/>
  <c r="E15" i="16" s="1"/>
  <c r="E15" i="9"/>
  <c r="N14" i="9"/>
  <c r="T15" i="8"/>
  <c r="U12" i="6"/>
  <c r="J12" i="6" s="1"/>
  <c r="M12" i="6" s="1"/>
  <c r="G12" i="6" s="1"/>
  <c r="M13" i="13" s="1"/>
  <c r="Q12" i="9"/>
  <c r="Y13" i="13"/>
  <c r="T12" i="8"/>
  <c r="R12" i="8"/>
  <c r="S12" i="8" s="1"/>
  <c r="K12" i="8"/>
  <c r="L15" i="3"/>
  <c r="P16" i="16" s="1"/>
  <c r="M14" i="8"/>
  <c r="G14" i="8" s="1"/>
  <c r="K15" i="16" s="1"/>
  <c r="L14" i="8"/>
  <c r="T15" i="16" s="1"/>
  <c r="L15" i="6"/>
  <c r="R16" i="16" s="1"/>
  <c r="L12" i="6"/>
  <c r="R13" i="16" s="1"/>
  <c r="M15" i="6"/>
  <c r="G15" i="6" s="1"/>
  <c r="M16" i="13" s="1"/>
  <c r="L8" i="6"/>
  <c r="R9" i="16" s="1"/>
  <c r="L10" i="7"/>
  <c r="S11" i="16" s="1"/>
  <c r="L15" i="5"/>
  <c r="Q16" i="16" s="1"/>
  <c r="T9" i="13"/>
  <c r="L8" i="9"/>
  <c r="G8" i="9"/>
  <c r="Q14" i="9"/>
  <c r="Y15" i="13"/>
  <c r="Y14" i="13"/>
  <c r="E9" i="13"/>
  <c r="Q13" i="9"/>
  <c r="L10" i="2"/>
  <c r="N11" i="16" s="1"/>
  <c r="M10" i="7"/>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Q14" i="13" l="1"/>
  <c r="R13" i="9"/>
  <c r="Z14" i="13"/>
  <c r="L13" i="2"/>
  <c r="N14" i="16" s="1"/>
  <c r="C14" i="9"/>
  <c r="X15" i="13"/>
  <c r="P14" i="9"/>
  <c r="X14" i="13"/>
  <c r="P13" i="9"/>
  <c r="G12" i="9"/>
  <c r="C13" i="9"/>
  <c r="E14" i="13"/>
  <c r="N15" i="9"/>
  <c r="N30" i="2"/>
  <c r="E15" i="13"/>
  <c r="L14" i="2"/>
  <c r="N15" i="16" s="1"/>
  <c r="U12" i="8"/>
  <c r="J12" i="8" s="1"/>
  <c r="M12" i="8" s="1"/>
  <c r="G12" i="8" s="1"/>
  <c r="K13" i="16" s="1"/>
  <c r="V16" i="13"/>
  <c r="I14" i="9"/>
  <c r="R14" i="9"/>
  <c r="Z15" i="13"/>
  <c r="X16" i="13"/>
  <c r="P15" i="9"/>
  <c r="Q15" i="13"/>
  <c r="G15"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L14" i="9"/>
  <c r="T15" i="13"/>
  <c r="Q13" i="13"/>
  <c r="I12" i="9"/>
  <c r="L12" i="8"/>
  <c r="T13" i="16" s="1"/>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<sst xmlns="http://schemas.openxmlformats.org/spreadsheetml/2006/main" count="654" uniqueCount="141">
  <si>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</si>
  <si>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</si>
  <si>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</si>
  <si>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</si>
  <si>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</si>
  <si>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</si>
  <si>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</si>
  <si>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</si>
  <si>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</si>
  <si>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</si>
  <si>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</si>
  <si>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</si>
  <si>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</si>
  <si>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</si>
  <si>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</si>
  <si>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</si>
  <si>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</si>
  <si>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</si>
  <si>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</si>
  <si>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</si>
  <si>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</si>
  <si>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</si>
  <si>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</si>
  <si>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</si>
  <si>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</si>
  <si>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</si>
  <si>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</si>
  <si>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</si>
  <si>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</si>
  <si>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</si>
  <si>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</si>
  <si>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</si>
  <si>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</si>
  <si>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</si>
  <si>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</si>
  <si>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</si>
  <si>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</si>
  <si>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</si>
  <si>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</si>
  <si>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</si>
  <si>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</si>
  <si>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</si>
  <si>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</si>
  <si>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</si>
  <si>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</si>
  <si>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</si>
  <si>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</si>
  <si>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</si>
  <si>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</si>
  <si>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</si>
  <si>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</si>
  <si>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</si>
  <si>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</si>
  <si>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</si>
  <si>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</si>
  <si>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</si>
  <si>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</si>
  <si>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</si>
  <si>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</si>
  <si>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</si>
  <si>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</si>
  <si>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</si>
  <si>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</si>
  <si>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</si>
  <si>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</si>
  <si>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</si>
  <si>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</si>
  <si>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</si>
  <si>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</si>
  <si>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</si>
  <si>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</si>
  <si>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</si>
  <si>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</si>
  <si>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</si>
  <si>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</si>
  <si>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</si>
  <si>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</si>
  <si>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</si>
  <si>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</si>
  <si>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</si>
  <si>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</si>
  <si>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</si>
  <si>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</si>
  <si>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</si>
  <si>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</si>
  <si>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</si>
  <si>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</si>
  <si>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</si>
  <si>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</si>
  <si>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</si>
  <si>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</si>
  <si>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</si>
  <si>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</si>
  <si>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</si>
  <si>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</si>
  <si>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</si>
  <si>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</si>
  <si>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</si>
  <si>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</si>
  <si>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</si>
  <si>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</si>
  <si>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</si>
  <si>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</si>
  <si>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</si>
  <si>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</si>
  <si>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</si>
  <si>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</si>
  <si>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</si>
  <si>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</si>
  <si>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</si>
  <si>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</si>
  <si>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</si>
  <si>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</si>
  <si>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</si>
  <si>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</si>
  <si>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</si>
  <si>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</si>
  <si>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</si>
  <si>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</si>
  <si>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</si>
  <si>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</si>
  <si>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</si>
  <si>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</si>
  <si>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</si>
  <si>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</si>
  <si>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</si>
  <si>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</si>
  <si>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</si>
  <si>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</si>
  <si>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</si>
  <si>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</si>
  <si>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</si>
  <si>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</si>
  <si>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</si>
  <si>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</si>
  <si>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</si>
  <si>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</si>
  <si>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Cheboygan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</si>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</sst>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Cheboygan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N=34</c:v>
                </c:pt>
                <c:pt idx="4">
                  <c:v>Detentions, total N=9</c:v>
                </c:pt>
                <c:pt idx="5">
                  <c:v>Referrals, total N=52</c:v>
                </c:pt>
                <c:pt idx="6">
                  <c:v>Arrests, total N=5</c:v>
                </c:pt>
                <c:pt idx="7">
                  <c:v>Population, total N=1696</c:v>
                </c:pt>
              </c:strCache>
            </c:strRef>
          </c:cat>
          <c:val>
            <c:numRef>
              <c:f>'Stacked 100%'!$B$7:$B$14</c:f>
              <c:numCache>
                <c:formatCode>0%</c:formatCode>
                <c:ptCount val="8"/>
                <c:pt idx="0">
                  <c:v>0</c:v>
                </c:pt>
                <c:pt idx="1">
                  <c:v>0</c:v>
                </c:pt>
                <c:pt idx="2">
                  <c:v>3.8461538461538464E-2</c:v>
                </c:pt>
                <c:pt idx="3">
                  <c:v>8.8235294117647065E-2</c:v>
                </c:pt>
                <c:pt idx="4">
                  <c:v>0.22222222222222221</c:v>
                </c:pt>
                <c:pt idx="5">
                  <c:v>5.7692307692307696E-2</c:v>
                </c:pt>
                <c:pt idx="6">
                  <c:v>0</c:v>
                </c:pt>
                <c:pt idx="7">
                  <c:v>1.5330188679245283E-2</c:v>
                </c:pt>
              </c:numCache>
            </c:numRef>
          </c:val>
          <c:extLst>
            <c:ext xmlns:c16="http://schemas.microsoft.com/office/drawing/2014/chart" uri="{C3380CC4-5D6E-409C-BE32-E72D297353CC}">
              <c16:uniqueId val="{00000000-3192-412E-A13B-62F938333CB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N=34</c:v>
                </c:pt>
                <c:pt idx="4">
                  <c:v>Detentions, total N=9</c:v>
                </c:pt>
                <c:pt idx="5">
                  <c:v>Referrals, total N=52</c:v>
                </c:pt>
                <c:pt idx="6">
                  <c:v>Arrests, total N=5</c:v>
                </c:pt>
                <c:pt idx="7">
                  <c:v>Population, total N=1696</c:v>
                </c:pt>
              </c:strCache>
            </c:strRef>
          </c:cat>
          <c:val>
            <c:numRef>
              <c:f>'Stacked 100%'!$C$7:$C$14</c:f>
              <c:numCache>
                <c:formatCode>0%</c:formatCode>
                <c:ptCount val="8"/>
                <c:pt idx="0">
                  <c:v>0</c:v>
                </c:pt>
                <c:pt idx="1">
                  <c:v>0</c:v>
                </c:pt>
                <c:pt idx="2">
                  <c:v>0</c:v>
                </c:pt>
                <c:pt idx="3">
                  <c:v>0</c:v>
                </c:pt>
                <c:pt idx="4">
                  <c:v>0</c:v>
                </c:pt>
                <c:pt idx="5">
                  <c:v>0</c:v>
                </c:pt>
                <c:pt idx="6">
                  <c:v>0</c:v>
                </c:pt>
                <c:pt idx="7">
                  <c:v>2.4764150943396228E-2</c:v>
                </c:pt>
              </c:numCache>
            </c:numRef>
          </c:val>
          <c:extLst>
            <c:ext xmlns:c16="http://schemas.microsoft.com/office/drawing/2014/chart" uri="{C3380CC4-5D6E-409C-BE32-E72D297353CC}">
              <c16:uniqueId val="{00000001-3192-412E-A13B-62F938333CB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N=26</c:v>
                </c:pt>
                <c:pt idx="3">
                  <c:v>Petitions, total N=34</c:v>
                </c:pt>
                <c:pt idx="4">
                  <c:v>Detentions, total N=9</c:v>
                </c:pt>
                <c:pt idx="5">
                  <c:v>Referrals, total N=52</c:v>
                </c:pt>
                <c:pt idx="6">
                  <c:v>Arrests, total N=5</c:v>
                </c:pt>
                <c:pt idx="7">
                  <c:v>Population, total N=1696</c:v>
                </c:pt>
              </c:strCache>
            </c:strRef>
          </c:cat>
          <c:val>
            <c:numRef>
              <c:f>'Stacked 100%'!$H$7:$H$14</c:f>
              <c:numCache>
                <c:formatCode>0%</c:formatCode>
                <c:ptCount val="8"/>
                <c:pt idx="0">
                  <c:v>0</c:v>
                </c:pt>
                <c:pt idx="1">
                  <c:v>0</c:v>
                </c:pt>
                <c:pt idx="2">
                  <c:v>1.4792899408284025E-3</c:v>
                </c:pt>
                <c:pt idx="3">
                  <c:v>8.6505190311418688E-4</c:v>
                </c:pt>
                <c:pt idx="4">
                  <c:v>0</c:v>
                </c:pt>
                <c:pt idx="5">
                  <c:v>3.6982248520710064E-4</c:v>
                </c:pt>
                <c:pt idx="6">
                  <c:v>0</c:v>
                </c:pt>
                <c:pt idx="7">
                  <c:v>3.3374866500534E-5</c:v>
                </c:pt>
              </c:numCache>
            </c:numRef>
          </c:val>
          <c:extLst>
            <c:ext xmlns:c16="http://schemas.microsoft.com/office/drawing/2014/chart" uri="{C3380CC4-5D6E-409C-BE32-E72D297353CC}">
              <c16:uniqueId val="{00000002-3192-412E-A13B-62F938333CB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N=26</c:v>
                </c:pt>
                <c:pt idx="3">
                  <c:v>Petitions, total N=34</c:v>
                </c:pt>
                <c:pt idx="4">
                  <c:v>Detentions, total N=9</c:v>
                </c:pt>
                <c:pt idx="5">
                  <c:v>Referrals, total N=52</c:v>
                </c:pt>
                <c:pt idx="6">
                  <c:v>Arrests, total N=5</c:v>
                </c:pt>
                <c:pt idx="7">
                  <c:v>Population, total N=1696</c:v>
                </c:pt>
              </c:strCache>
            </c:strRef>
          </c:cat>
          <c:val>
            <c:numRef>
              <c:f>'Stacked 100%'!$I$7:$I$14</c:f>
              <c:numCache>
                <c:formatCode>0%</c:formatCode>
                <c:ptCount val="8"/>
                <c:pt idx="0">
                  <c:v>0</c:v>
                </c:pt>
                <c:pt idx="1">
                  <c:v>1</c:v>
                </c:pt>
                <c:pt idx="2">
                  <c:v>0.92307692307692313</c:v>
                </c:pt>
                <c:pt idx="3">
                  <c:v>0.88235294117647056</c:v>
                </c:pt>
                <c:pt idx="4">
                  <c:v>0.77777777777777779</c:v>
                </c:pt>
                <c:pt idx="5">
                  <c:v>0.92307692307692313</c:v>
                </c:pt>
                <c:pt idx="6">
                  <c:v>0.8</c:v>
                </c:pt>
                <c:pt idx="7">
                  <c:v>0.90330188679245282</c:v>
                </c:pt>
              </c:numCache>
            </c:numRef>
          </c:val>
          <c:extLst>
            <c:ext xmlns:c16="http://schemas.microsoft.com/office/drawing/2014/chart" uri="{C3380CC4-5D6E-409C-BE32-E72D297353CC}">
              <c16:uniqueId val="{00000003-3192-412E-A13B-62F938333CB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N=26</c:v>
                </c:pt>
                <c:pt idx="3">
                  <c:v>Petitions, total N=34</c:v>
                </c:pt>
                <c:pt idx="4">
                  <c:v>Detentions, total N=9</c:v>
                </c:pt>
                <c:pt idx="5">
                  <c:v>Referrals, total N=52</c:v>
                </c:pt>
                <c:pt idx="6">
                  <c:v>Arrests, total N=5</c:v>
                </c:pt>
                <c:pt idx="7">
                  <c:v>Population, total N=1696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92-412E-A13B-62F938333CB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1696</v>
      </c>
      <c r="C6" s="11">
        <v>1532</v>
      </c>
      <c r="D6" s="11">
        <v>26</v>
      </c>
      <c r="E6" s="11">
        <v>42</v>
      </c>
      <c r="F6" s="11">
        <v>16</v>
      </c>
      <c r="G6" s="11"/>
      <c r="H6" s="11">
        <v>80</v>
      </c>
      <c r="I6" s="11"/>
      <c r="J6" s="91">
        <f>SUM(D6:I6)</f>
        <v>164</v>
      </c>
      <c r="K6" s="92"/>
    </row>
    <row r="7" spans="1:11" ht="15.75" customHeight="1" thickBot="1" x14ac:dyDescent="0.25">
      <c r="A7" s="10" t="s">
        <v>8</v>
      </c>
      <c r="B7" s="11">
        <f t="shared" ref="B7:B15" si="0">SUM(C7:I7)+K7</f>
        <v>5</v>
      </c>
      <c r="C7" s="11">
        <v>4</v>
      </c>
      <c r="D7" s="11"/>
      <c r="E7" s="11"/>
      <c r="F7" s="11"/>
      <c r="G7" s="11"/>
      <c r="H7" s="11"/>
      <c r="I7" s="11"/>
      <c r="J7" s="91">
        <f t="shared" ref="J7:J15" si="1">SUM(D7:I7)</f>
        <v>0</v>
      </c>
      <c r="K7" s="92">
        <v>1</v>
      </c>
    </row>
    <row r="8" spans="1:11" ht="15.75" customHeight="1" thickBot="1" x14ac:dyDescent="0.25">
      <c r="A8" s="10" t="s">
        <v>9</v>
      </c>
      <c r="B8" s="11">
        <f t="shared" si="0"/>
        <v>52</v>
      </c>
      <c r="C8" s="11">
        <v>48</v>
      </c>
      <c r="D8" s="11">
        <v>3</v>
      </c>
      <c r="E8" s="11"/>
      <c r="F8" s="11"/>
      <c r="G8" s="11"/>
      <c r="H8" s="11">
        <v>1</v>
      </c>
      <c r="I8" s="11"/>
      <c r="J8" s="91">
        <f t="shared" si="1"/>
        <v>4</v>
      </c>
      <c r="K8" s="92"/>
    </row>
    <row r="9" spans="1:11" ht="15.75" customHeight="1" thickBot="1" x14ac:dyDescent="0.25">
      <c r="A9" s="10" t="s">
        <v>10</v>
      </c>
      <c r="B9" s="11">
        <f t="shared" si="0"/>
        <v>1</v>
      </c>
      <c r="C9" s="11">
        <v>1</v>
      </c>
      <c r="D9" s="11"/>
      <c r="E9" s="11"/>
      <c r="F9" s="11"/>
      <c r="G9" s="11"/>
      <c r="H9" s="11"/>
      <c r="I9" s="11"/>
      <c r="J9" s="91">
        <f t="shared" si="1"/>
        <v>0</v>
      </c>
      <c r="K9" s="92"/>
    </row>
    <row r="10" spans="1:11" ht="15.75" customHeight="1" thickBot="1" x14ac:dyDescent="0.25">
      <c r="A10" s="10" t="s">
        <v>11</v>
      </c>
      <c r="B10" s="11">
        <f t="shared" si="0"/>
        <v>9</v>
      </c>
      <c r="C10" s="11">
        <v>7</v>
      </c>
      <c r="D10" s="11">
        <v>2</v>
      </c>
      <c r="E10" s="11"/>
      <c r="F10" s="11"/>
      <c r="G10" s="11"/>
      <c r="H10" s="11"/>
      <c r="I10" s="11"/>
      <c r="J10" s="91">
        <f t="shared" si="1"/>
        <v>2</v>
      </c>
      <c r="K10" s="92"/>
    </row>
    <row r="11" spans="1:11" ht="15.75" customHeight="1" thickBot="1" x14ac:dyDescent="0.25">
      <c r="A11" s="10" t="s">
        <v>12</v>
      </c>
      <c r="B11" s="11">
        <f t="shared" si="0"/>
        <v>34</v>
      </c>
      <c r="C11" s="11">
        <v>30</v>
      </c>
      <c r="D11" s="11">
        <v>3</v>
      </c>
      <c r="E11" s="11"/>
      <c r="F11" s="11"/>
      <c r="G11" s="11"/>
      <c r="H11" s="11">
        <v>1</v>
      </c>
      <c r="I11" s="11"/>
      <c r="J11" s="91">
        <f t="shared" si="1"/>
        <v>4</v>
      </c>
      <c r="K11" s="92"/>
    </row>
    <row r="12" spans="1:11" ht="15.75" customHeight="1" thickBot="1" x14ac:dyDescent="0.25">
      <c r="A12" s="10" t="s">
        <v>13</v>
      </c>
      <c r="B12" s="11">
        <f t="shared" si="0"/>
        <v>26</v>
      </c>
      <c r="C12" s="11">
        <v>24</v>
      </c>
      <c r="D12" s="11">
        <v>1</v>
      </c>
      <c r="E12" s="11"/>
      <c r="F12" s="11"/>
      <c r="G12" s="11"/>
      <c r="H12" s="11">
        <v>1</v>
      </c>
      <c r="I12" s="11"/>
      <c r="J12" s="91">
        <f t="shared" si="1"/>
        <v>2</v>
      </c>
      <c r="K12" s="92"/>
    </row>
    <row r="13" spans="1:11" ht="15.75" customHeight="1" thickBot="1" x14ac:dyDescent="0.25">
      <c r="A13" s="10" t="s">
        <v>133</v>
      </c>
      <c r="B13" s="11">
        <f t="shared" si="0"/>
        <v>51</v>
      </c>
      <c r="C13" s="11">
        <v>47</v>
      </c>
      <c r="D13" s="11">
        <v>3</v>
      </c>
      <c r="E13" s="11"/>
      <c r="F13" s="11"/>
      <c r="G13" s="11"/>
      <c r="H13" s="11">
        <v>1</v>
      </c>
      <c r="I13" s="11"/>
      <c r="J13" s="91">
        <f t="shared" si="1"/>
        <v>4</v>
      </c>
      <c r="K13" s="92"/>
    </row>
    <row r="14" spans="1:11" ht="26.25" customHeight="1" thickBot="1" x14ac:dyDescent="0.25">
      <c r="A14" s="10" t="s">
        <v>123</v>
      </c>
      <c r="B14" s="11">
        <f t="shared" si="0"/>
        <v>5</v>
      </c>
      <c r="C14" s="11">
        <v>5</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1528</v>
      </c>
      <c r="R7" s="42">
        <f t="shared" ref="R7:R15" si="5">SUM(N7:Q7)</f>
        <v>1532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48</v>
      </c>
      <c r="D8" s="34">
        <f>IF((AND(C67&gt;0,C8&gt;0)),(C8/C67),0)</f>
        <v>1200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-44</v>
      </c>
      <c r="R8" s="42">
        <f t="shared" si="5"/>
        <v>4.0499999999999972</v>
      </c>
      <c r="S8" s="30">
        <f t="shared" si="6"/>
        <v>23.327999999999989</v>
      </c>
      <c r="T8" s="30">
        <f t="shared" si="7"/>
        <v>-421.92000000000007</v>
      </c>
      <c r="U8" s="31">
        <f t="shared" si="8"/>
        <v>-5.5290102389078465E-2</v>
      </c>
    </row>
    <row r="9" spans="2:21" ht="18" customHeight="1" x14ac:dyDescent="0.25">
      <c r="B9" s="32" t="str">
        <f>'Data Entry'!A9</f>
        <v xml:space="preserve">4. Cases Diverted </v>
      </c>
      <c r="C9" s="33">
        <f>'Data Entry'!C9</f>
        <v>1</v>
      </c>
      <c r="D9" s="34">
        <f>IF((AND(C68&gt;0,C9&gt;0)),((C9/C68)),0)</f>
        <v>2.0833333333333335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47</v>
      </c>
      <c r="R9" s="42">
        <f t="shared" si="5"/>
        <v>48</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14.583333333333334</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41</v>
      </c>
      <c r="R10" s="42">
        <f t="shared" si="5"/>
        <v>48</v>
      </c>
      <c r="S10" s="30">
        <f t="shared" si="6"/>
        <v>0</v>
      </c>
      <c r="T10" s="30">
        <f t="shared" si="7"/>
        <v>0</v>
      </c>
      <c r="U10" s="31" t="str">
        <f t="shared" si="8"/>
        <v>- -</v>
      </c>
    </row>
    <row r="11" spans="2:21" ht="18" customHeight="1" x14ac:dyDescent="0.25">
      <c r="B11" s="32" t="str">
        <f>'Data Entry'!A11</f>
        <v>6. Cases Petitioned (Charge Filed)</v>
      </c>
      <c r="C11" s="33">
        <f>'Data Entry'!C11</f>
        <v>30</v>
      </c>
      <c r="D11" s="34">
        <f>IF(((AND(C68&gt;0,C11&gt;0))),(C11/(C68)),0)</f>
        <v>62.5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18</v>
      </c>
      <c r="R11" s="42">
        <f t="shared" si="5"/>
        <v>48</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6</v>
      </c>
      <c r="R12" s="42">
        <f t="shared" si="5"/>
        <v>30</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0</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v>
      </c>
      <c r="E44" s="56">
        <f>MAX(C44:D44,0)</f>
        <v>0.48</v>
      </c>
      <c r="G44" s="1" t="str">
        <f>B44</f>
        <v>per 100 referrals</v>
      </c>
      <c r="L44" s="57">
        <v>100</v>
      </c>
      <c r="M44" s="57"/>
      <c r="R44" s="49"/>
    </row>
    <row r="45" spans="2:18" ht="15" hidden="1" customHeight="1" x14ac:dyDescent="0.25">
      <c r="B45" s="49" t="s">
        <v>89</v>
      </c>
      <c r="C45" s="49">
        <f>C11/100</f>
        <v>0.3</v>
      </c>
      <c r="D45" s="49">
        <f>E11/100</f>
        <v>0</v>
      </c>
      <c r="E45" s="56">
        <f>MAX(C45:D45,0)</f>
        <v>0.3</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0</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0</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0</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0</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Entry'!J6</f>
        <v>164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164</v>
      </c>
      <c r="P7" s="42">
        <f t="shared" ref="P7:P15" si="4">C7</f>
        <v>4</v>
      </c>
      <c r="Q7" s="42">
        <f>C6-C7</f>
        <v>1528</v>
      </c>
      <c r="R7" s="42">
        <f t="shared" ref="R7:R15" si="5">SUM(N7:Q7)</f>
        <v>1696</v>
      </c>
      <c r="S7" s="30">
        <f t="shared" ref="S7:S15" si="6">R7*((((N7*Q7)-(O7*P7))^2))</f>
        <v>729849856</v>
      </c>
      <c r="T7" s="30">
        <f t="shared" ref="T7:T15" si="7">(N7+O7)*(P7+Q7)*(N7+P7)*(O7+Q7)</f>
        <v>1700446464</v>
      </c>
      <c r="U7" s="31">
        <f t="shared" ref="U7:U15" si="8">IF((S7&gt;0),S7/T7,"- -")</f>
        <v>0.42921072286107564</v>
      </c>
    </row>
    <row r="8" spans="2:21" ht="18" customHeight="1" x14ac:dyDescent="0.25">
      <c r="B8" s="32" t="str">
        <f>'Data Entry'!A8</f>
        <v>3. Refer to Juvenile Court</v>
      </c>
      <c r="C8" s="33">
        <f>'Data Entry'!C8</f>
        <v>48</v>
      </c>
      <c r="D8" s="34">
        <f>IF((AND(C67&gt;0,C8&gt;0)),(C8/C67),0)</f>
        <v>1200</v>
      </c>
      <c r="E8" s="33">
        <f>'Data Entry'!J8</f>
        <v>4</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-3.95</v>
      </c>
      <c r="P8" s="42">
        <f t="shared" si="4"/>
        <v>48</v>
      </c>
      <c r="Q8" s="42">
        <f>(C$67*L67)-C8</f>
        <v>-44</v>
      </c>
      <c r="R8" s="42">
        <f t="shared" si="5"/>
        <v>4.0499999999999972</v>
      </c>
      <c r="S8" s="30">
        <f t="shared" si="6"/>
        <v>749.0880000000019</v>
      </c>
      <c r="T8" s="30">
        <f t="shared" si="7"/>
        <v>-498.67999999999824</v>
      </c>
      <c r="U8" s="31">
        <f t="shared" si="8"/>
        <v>-1.5021416539664805</v>
      </c>
    </row>
    <row r="9" spans="2:21" ht="18" customHeight="1" x14ac:dyDescent="0.25">
      <c r="B9" s="32" t="str">
        <f>'Data Entry'!A9</f>
        <v xml:space="preserve">4. Cases Diverted </v>
      </c>
      <c r="C9" s="33">
        <f>'Data Entry'!C9</f>
        <v>1</v>
      </c>
      <c r="D9" s="34">
        <f>IF((AND(C68&gt;0,C9&gt;0)),((C9/C68)),0)</f>
        <v>2.0833333333333335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1</v>
      </c>
      <c r="Q9" s="42">
        <f>(C$68*L68)-C9</f>
        <v>47</v>
      </c>
      <c r="R9" s="42">
        <f t="shared" si="5"/>
        <v>52</v>
      </c>
      <c r="S9" s="30">
        <f t="shared" si="6"/>
        <v>832</v>
      </c>
      <c r="T9" s="30">
        <f t="shared" si="7"/>
        <v>9792</v>
      </c>
      <c r="U9" s="31">
        <f t="shared" si="8"/>
        <v>8.4967320261437912E-2</v>
      </c>
    </row>
    <row r="10" spans="2:21" ht="18" customHeight="1" x14ac:dyDescent="0.25">
      <c r="B10" s="32" t="str">
        <f>'Data Entry'!A10</f>
        <v>5. Cases Involving Secure Detention</v>
      </c>
      <c r="C10" s="33">
        <f>'Data Entry'!C10</f>
        <v>7</v>
      </c>
      <c r="D10" s="34">
        <f>IF(((AND(C68&gt;0,C10&gt;0))),(C10/(C68)),0)</f>
        <v>14.583333333333334</v>
      </c>
      <c r="E10" s="33">
        <f>'Data Entry'!J10</f>
        <v>2</v>
      </c>
      <c r="F10" s="34">
        <f>IF(((AND($E$10&gt;0,$D$68&gt;0))),($E$10/($D$68)),0)</f>
        <v>50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2</v>
      </c>
      <c r="P10" s="42">
        <f t="shared" si="4"/>
        <v>7</v>
      </c>
      <c r="Q10" s="42">
        <f>(C$68*L68)-C10</f>
        <v>41</v>
      </c>
      <c r="R10" s="42">
        <f t="shared" si="5"/>
        <v>52</v>
      </c>
      <c r="S10" s="30">
        <f t="shared" si="6"/>
        <v>240448</v>
      </c>
      <c r="T10" s="30">
        <f t="shared" si="7"/>
        <v>74304</v>
      </c>
      <c r="U10" s="31">
        <f t="shared" si="8"/>
        <v>3.2360034453057711</v>
      </c>
    </row>
    <row r="11" spans="2:21" ht="18" customHeight="1" x14ac:dyDescent="0.25">
      <c r="B11" s="32" t="str">
        <f>'Data Entry'!A11</f>
        <v>6. Cases Petitioned (Charge Filed)</v>
      </c>
      <c r="C11" s="33">
        <f>'Data Entry'!C11</f>
        <v>30</v>
      </c>
      <c r="D11" s="34">
        <f>IF(((AND(C68&gt;0,C11&gt;0))),(C11/(C68)),0)</f>
        <v>62.5</v>
      </c>
      <c r="E11" s="33">
        <f>'Data Entry'!J11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0</v>
      </c>
      <c r="P11" s="42">
        <f t="shared" si="4"/>
        <v>30</v>
      </c>
      <c r="Q11" s="42">
        <f>(C$68*L68)-C11</f>
        <v>18</v>
      </c>
      <c r="R11" s="42">
        <f t="shared" si="5"/>
        <v>52</v>
      </c>
      <c r="S11" s="30">
        <f t="shared" si="6"/>
        <v>269568</v>
      </c>
      <c r="T11" s="30">
        <f t="shared" si="7"/>
        <v>117504</v>
      </c>
      <c r="U11" s="31">
        <f t="shared" si="8"/>
        <v>2.2941176470588234</v>
      </c>
    </row>
    <row r="12" spans="2:21" ht="18" customHeight="1" x14ac:dyDescent="0.25">
      <c r="B12" s="32" t="str">
        <f>'Data Entry'!A12</f>
        <v>7. Cases Resulting in Delinquent Findings</v>
      </c>
      <c r="C12" s="33">
        <f>'Data Entry'!C12</f>
        <v>24</v>
      </c>
      <c r="D12" s="34">
        <f>IF(((AND(C69&gt;0,C12&gt;0))),(C12/(C69)),0)</f>
        <v>80</v>
      </c>
      <c r="E12" s="33">
        <f>'Data Entry'!J12</f>
        <v>2</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2</v>
      </c>
      <c r="P12" s="42">
        <f t="shared" si="4"/>
        <v>24</v>
      </c>
      <c r="Q12" s="42">
        <f>(C69*L69)-C12</f>
        <v>6</v>
      </c>
      <c r="R12" s="42">
        <f t="shared" si="5"/>
        <v>34</v>
      </c>
      <c r="S12" s="30">
        <f t="shared" si="6"/>
        <v>44064</v>
      </c>
      <c r="T12" s="30">
        <f t="shared" si="7"/>
        <v>24960</v>
      </c>
      <c r="U12" s="31">
        <f t="shared" si="8"/>
        <v>1.7653846153846153</v>
      </c>
    </row>
    <row r="13" spans="2:21" ht="18" customHeight="1" x14ac:dyDescent="0.25">
      <c r="B13" s="32" t="str">
        <f>'Data Entry'!A13</f>
        <v>8. Cases Resulting in Probation Placement</v>
      </c>
      <c r="C13" s="33">
        <f>'Data Entry'!C13</f>
        <v>47</v>
      </c>
      <c r="D13" s="34">
        <f>IF(((AND(C70&gt;0,C13&gt;0))),(C13/(C70)),0)</f>
        <v>195.83333333333334</v>
      </c>
      <c r="E13" s="33">
        <f>'Data Entry'!J13</f>
        <v>4</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-2</v>
      </c>
      <c r="P13" s="42">
        <f t="shared" si="4"/>
        <v>47</v>
      </c>
      <c r="Q13" s="42">
        <f>(C70*L70)-C13</f>
        <v>-23</v>
      </c>
      <c r="R13" s="42">
        <f t="shared" si="5"/>
        <v>26</v>
      </c>
      <c r="S13" s="30">
        <f t="shared" si="6"/>
        <v>104</v>
      </c>
      <c r="T13" s="30">
        <f t="shared" si="7"/>
        <v>-61200</v>
      </c>
      <c r="U13" s="31">
        <f t="shared" si="8"/>
        <v>-1.6993464052287581E-3</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5</v>
      </c>
      <c r="Q14" s="42">
        <f>(C70*L70)-C14</f>
        <v>19</v>
      </c>
      <c r="R14" s="42">
        <f t="shared" si="5"/>
        <v>26</v>
      </c>
      <c r="S14" s="30">
        <f t="shared" si="6"/>
        <v>2600</v>
      </c>
      <c r="T14" s="30">
        <f t="shared" si="7"/>
        <v>5040</v>
      </c>
      <c r="U14" s="31">
        <f t="shared" si="8"/>
        <v>0.51587301587301593</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30</v>
      </c>
      <c r="R15" s="42">
        <f t="shared" si="5"/>
        <v>34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0.16400000000000001</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0.04</v>
      </c>
      <c r="E44" s="56">
        <f>MAX(C44:D44,0)</f>
        <v>0.48</v>
      </c>
      <c r="G44" s="1" t="str">
        <f>B44</f>
        <v>per 100 referrals</v>
      </c>
      <c r="L44" s="57">
        <v>100</v>
      </c>
      <c r="M44" s="57"/>
      <c r="R44" s="49"/>
    </row>
    <row r="45" spans="2:18" ht="15" hidden="1" customHeight="1" x14ac:dyDescent="0.25">
      <c r="B45" s="49" t="s">
        <v>89</v>
      </c>
      <c r="C45" s="49">
        <f>C11/100</f>
        <v>0.3</v>
      </c>
      <c r="D45" s="49">
        <f>E11/100</f>
        <v>0.04</v>
      </c>
      <c r="E45" s="56">
        <f>MAX(C45:D45,0)</f>
        <v>0.3</v>
      </c>
      <c r="G45" s="1" t="str">
        <f>B45</f>
        <v>per 100 youth petitioned</v>
      </c>
      <c r="L45" s="57">
        <v>100</v>
      </c>
      <c r="M45" s="57"/>
      <c r="R45" s="49"/>
    </row>
    <row r="46" spans="2:18" ht="15" hidden="1" customHeight="1" x14ac:dyDescent="0.25">
      <c r="B46" s="49" t="s">
        <v>90</v>
      </c>
      <c r="C46" s="49">
        <f>C12/100</f>
        <v>0.24</v>
      </c>
      <c r="D46" s="49">
        <f>E12/100</f>
        <v>0.02</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0.16400000000000001</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0.04</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0.04</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0.02</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0.16400000000000001</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0.04</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0.04</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0.02</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0.16400000000000001</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0.04</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0.04</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0.02</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0.16400000000000001</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0.04</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0.04</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0.02</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Cheboygan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f>'Am Indian'!L9</f>
        <v>40</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f>'Am Indian'!L10</f>
        <v>40</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40</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f>'Am Indian'!L13</f>
        <v>40</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f>'Am Indian'!L14</f>
        <v>40</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1696</v>
      </c>
      <c r="D3" s="57">
        <f>'Data Entry'!C6</f>
        <v>1532</v>
      </c>
      <c r="E3" s="57">
        <f>'Data Entry'!D6</f>
        <v>26</v>
      </c>
      <c r="F3" s="57">
        <f>'Data Entry'!E6</f>
        <v>42</v>
      </c>
      <c r="G3" s="57">
        <f>'Data Entry'!F6</f>
        <v>16</v>
      </c>
      <c r="H3" s="57">
        <f>'Data Entry'!G6</f>
        <v>0</v>
      </c>
      <c r="I3" s="57">
        <f>'Data Entry'!H6</f>
        <v>80</v>
      </c>
      <c r="J3" s="57">
        <f>'Data Entry'!I6</f>
        <v>0</v>
      </c>
      <c r="K3" s="57">
        <f>'Data Entry'!J6</f>
        <v>164</v>
      </c>
    </row>
    <row r="4" spans="2:11" ht="15" customHeight="1" x14ac:dyDescent="0.25">
      <c r="B4" s="16" t="s">
        <v>8</v>
      </c>
      <c r="C4" s="1">
        <f>IF((C$3&gt;0),(1000*('Data Entry'!B7/'Data Entry'!B$6)), 0)</f>
        <v>2.9481132075471699</v>
      </c>
      <c r="D4" s="1">
        <f>IF((D$3&gt;0),(1000*('Data Entry'!C7/'Data Entry'!C$6)), 0)</f>
        <v>2.6109660574412534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30.660377358490567</v>
      </c>
      <c r="D5" s="1">
        <f>IF((D$3&gt;0),(1000*('Data Entry'!C8/'Data Entry'!C$6)), 0)</f>
        <v>31.331592689295036</v>
      </c>
      <c r="E5" s="1">
        <f>IF((E$3&gt;0),(1000*('Data Entry'!D8/'Data Entry'!D$6)), 0)</f>
        <v>115.38461538461539</v>
      </c>
      <c r="F5" s="1">
        <f>IF((F$3&gt;0),(1000*('Data Entry'!E8/'Data Entry'!E$6)), 0)</f>
        <v>0</v>
      </c>
      <c r="G5" s="1">
        <f>IF((G$3&gt;0),(1000*('Data Entry'!F8/'Data Entry'!F$6)), 0)</f>
        <v>0</v>
      </c>
      <c r="H5" s="1">
        <f>IF((H$3&gt;0),(1000*('Data Entry'!G8/'Data Entry'!G$6)), 0)</f>
        <v>0</v>
      </c>
      <c r="I5" s="1">
        <f>IF((I$3&gt;0),(1000*('Data Entry'!H8/'Data Entry'!H$6)), 0)</f>
        <v>12.5</v>
      </c>
      <c r="J5" s="1">
        <f>IF((J$3&gt;0),(1000*('Data Entry'!I8/'Data Entry'!I$6)), 0)</f>
        <v>0</v>
      </c>
      <c r="K5" s="1">
        <f>IF((K$3&gt;0),(1000*('Data Entry'!J8/'Data Entry'!J$6)), 0)</f>
        <v>24.390243902439025</v>
      </c>
    </row>
    <row r="6" spans="2:11" ht="15" customHeight="1" x14ac:dyDescent="0.25">
      <c r="B6" s="16" t="s">
        <v>10</v>
      </c>
      <c r="C6" s="1">
        <f>IF((C$3&gt;0),(1000*('Data Entry'!B9/'Data Entry'!B$6)), 0)</f>
        <v>0.58962264150943389</v>
      </c>
      <c r="D6" s="1">
        <f>IF((D$3&gt;0),(1000*('Data Entry'!C9/'Data Entry'!C$6)), 0)</f>
        <v>0.65274151436031336</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5.3066037735849054</v>
      </c>
      <c r="D7" s="1">
        <f>IF((D$3&gt;0),(1000*('Data Entry'!C10/'Data Entry'!C$6)), 0)</f>
        <v>4.5691906005221936</v>
      </c>
      <c r="E7" s="1">
        <f>IF((E$3&gt;0),(1000*('Data Entry'!D10/'Data Entry'!D$6)), 0)</f>
        <v>76.923076923076934</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12.195121951219512</v>
      </c>
    </row>
    <row r="8" spans="2:11" ht="15" customHeight="1" x14ac:dyDescent="0.25">
      <c r="B8" s="16" t="s">
        <v>95</v>
      </c>
      <c r="C8" s="1">
        <f>IF((C$3&gt;0),(1000*('Data Entry'!B11/'Data Entry'!B$6)), 0)</f>
        <v>20.047169811320753</v>
      </c>
      <c r="D8" s="1">
        <f>IF((D$3&gt;0),(1000*('Data Entry'!C11/'Data Entry'!C$6)), 0)</f>
        <v>19.582245430809401</v>
      </c>
      <c r="E8" s="1">
        <f>IF((E$3&gt;0),(1000*('Data Entry'!D11/'Data Entry'!D$6)), 0)</f>
        <v>115.38461538461539</v>
      </c>
      <c r="F8" s="1">
        <f>IF((F$3&gt;0),(1000*('Data Entry'!E11/'Data Entry'!E$6)), 0)</f>
        <v>0</v>
      </c>
      <c r="G8" s="1">
        <f>IF((G$3&gt;0),(1000*('Data Entry'!F11/'Data Entry'!F$6)), 0)</f>
        <v>0</v>
      </c>
      <c r="H8" s="1">
        <f>IF((H$3&gt;0),(1000*('Data Entry'!G11/'Data Entry'!G$6)), 0)</f>
        <v>0</v>
      </c>
      <c r="I8" s="1">
        <f>IF((I$3&gt;0),(1000*('Data Entry'!H11/'Data Entry'!H$6)), 0)</f>
        <v>12.5</v>
      </c>
      <c r="J8" s="1">
        <f>IF((J$3&gt;0),(1000*('Data Entry'!I11/'Data Entry'!I$6)), 0)</f>
        <v>0</v>
      </c>
      <c r="K8" s="1">
        <f>IF((K$3&gt;0),(1000*('Data Entry'!J11/'Data Entry'!J$6)), 0)</f>
        <v>24.390243902439025</v>
      </c>
    </row>
    <row r="9" spans="2:11" ht="15" customHeight="1" x14ac:dyDescent="0.25">
      <c r="B9" s="16" t="s">
        <v>13</v>
      </c>
      <c r="C9" s="1">
        <f>IF((C$3&gt;0),(1000*('Data Entry'!B12/'Data Entry'!B$6)), 0)</f>
        <v>15.330188679245284</v>
      </c>
      <c r="D9" s="1">
        <f>IF((D$3&gt;0),(1000*('Data Entry'!C12/'Data Entry'!C$6)), 0)</f>
        <v>15.665796344647518</v>
      </c>
      <c r="E9" s="1">
        <f>IF((E$3&gt;0),(1000*('Data Entry'!D12/'Data Entry'!D$6)), 0)</f>
        <v>38.461538461538467</v>
      </c>
      <c r="F9" s="1">
        <f>IF((F$3&gt;0),(1000*('Data Entry'!E12/'Data Entry'!E$6)), 0)</f>
        <v>0</v>
      </c>
      <c r="G9" s="1">
        <f>IF((G$3&gt;0),(1000*('Data Entry'!F12/'Data Entry'!F$6)), 0)</f>
        <v>0</v>
      </c>
      <c r="H9" s="1">
        <f>IF((H$3&gt;0),(1000*('Data Entry'!G12/'Data Entry'!G$6)), 0)</f>
        <v>0</v>
      </c>
      <c r="I9" s="1">
        <f>IF((I$3&gt;0),(1000*('Data Entry'!H12/'Data Entry'!H$6)), 0)</f>
        <v>12.5</v>
      </c>
      <c r="J9" s="1">
        <f>IF((J$3&gt;0),(1000*('Data Entry'!I12/'Data Entry'!I$6)), 0)</f>
        <v>0</v>
      </c>
      <c r="K9" s="1">
        <f>IF((K$3&gt;0),(1000*('Data Entry'!J12/'Data Entry'!J$6)), 0)</f>
        <v>12.195121951219512</v>
      </c>
    </row>
    <row r="10" spans="2:11" ht="15" customHeight="1" x14ac:dyDescent="0.25">
      <c r="B10" s="16" t="s">
        <v>14</v>
      </c>
      <c r="C10" s="1">
        <f>IF((C$3&gt;0),(1000*('Data Entry'!B13/'Data Entry'!B$6)), 0)</f>
        <v>30.070754716981131</v>
      </c>
      <c r="D10" s="1">
        <f>IF((D$3&gt;0),(1000*('Data Entry'!C13/'Data Entry'!C$6)), 0)</f>
        <v>30.678851174934728</v>
      </c>
      <c r="E10" s="1">
        <f>IF((E$3&gt;0),(1000*('Data Entry'!D13/'Data Entry'!D$6)), 0)</f>
        <v>115.38461538461539</v>
      </c>
      <c r="F10" s="1">
        <f>IF((F$3&gt;0),(1000*('Data Entry'!E13/'Data Entry'!E$6)), 0)</f>
        <v>0</v>
      </c>
      <c r="G10" s="1">
        <f>IF((G$3&gt;0),(1000*('Data Entry'!F13/'Data Entry'!F$6)), 0)</f>
        <v>0</v>
      </c>
      <c r="H10" s="1">
        <f>IF((H$3&gt;0),(1000*('Data Entry'!G13/'Data Entry'!G$6)), 0)</f>
        <v>0</v>
      </c>
      <c r="I10" s="1">
        <f>IF((I$3&gt;0),(1000*('Data Entry'!H13/'Data Entry'!H$6)), 0)</f>
        <v>12.5</v>
      </c>
      <c r="J10" s="1">
        <f>IF((J$3&gt;0),(1000*('Data Entry'!I13/'Data Entry'!I$6)), 0)</f>
        <v>0</v>
      </c>
      <c r="K10" s="1">
        <f>IF((K$3&gt;0),(1000*('Data Entry'!J13/'Data Entry'!J$6)), 0)</f>
        <v>24.390243902439025</v>
      </c>
    </row>
    <row r="11" spans="2:11" ht="25.5" customHeight="1" x14ac:dyDescent="0.25">
      <c r="B11" s="16" t="s">
        <v>15</v>
      </c>
      <c r="C11" s="1">
        <f>IF((C$3&gt;0),(1000*('Data Entry'!B14/'Data Entry'!B$6)), 0)</f>
        <v>2.9481132075471699</v>
      </c>
      <c r="D11" s="1">
        <f>IF((D$3&gt;0),(1000*('Data Entry'!C14/'Data Entry'!C$6)), 0)</f>
        <v>3.2637075718015662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Cheboygan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3.6826923076923084</v>
      </c>
      <c r="E20" s="72" t="str">
        <f t="shared" si="2"/>
        <v>--</v>
      </c>
      <c r="F20" s="72" t="str">
        <f t="shared" si="2"/>
        <v>--</v>
      </c>
      <c r="G20" s="72" t="str">
        <f t="shared" si="2"/>
        <v>--</v>
      </c>
      <c r="H20" s="72">
        <f t="shared" si="2"/>
        <v>0.39895833333333336</v>
      </c>
      <c r="I20" s="72" t="str">
        <f t="shared" si="2"/>
        <v>--</v>
      </c>
      <c r="J20" s="73">
        <f t="shared" si="2"/>
        <v>0.77845528455284563</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16.835164835164836</v>
      </c>
      <c r="E22" s="72" t="str">
        <f t="shared" si="2"/>
        <v>--</v>
      </c>
      <c r="F22" s="72" t="str">
        <f t="shared" si="2"/>
        <v>--</v>
      </c>
      <c r="G22" s="72" t="str">
        <f t="shared" si="2"/>
        <v>--</v>
      </c>
      <c r="H22" s="72" t="str">
        <f t="shared" si="2"/>
        <v>--</v>
      </c>
      <c r="I22" s="72" t="str">
        <f t="shared" si="2"/>
        <v>--</v>
      </c>
      <c r="J22" s="73">
        <f t="shared" si="2"/>
        <v>2.6689895470383274</v>
      </c>
    </row>
    <row r="23" spans="2:10" ht="15" customHeight="1" x14ac:dyDescent="0.25">
      <c r="B23" s="71" t="s">
        <v>95</v>
      </c>
      <c r="C23" s="72">
        <f t="shared" si="2"/>
        <v>1</v>
      </c>
      <c r="D23" s="72">
        <f t="shared" si="2"/>
        <v>5.8923076923076918</v>
      </c>
      <c r="E23" s="72" t="str">
        <f t="shared" si="2"/>
        <v>--</v>
      </c>
      <c r="F23" s="72" t="str">
        <f t="shared" si="2"/>
        <v>--</v>
      </c>
      <c r="G23" s="72" t="str">
        <f t="shared" si="2"/>
        <v>--</v>
      </c>
      <c r="H23" s="72">
        <f t="shared" si="2"/>
        <v>0.63833333333333331</v>
      </c>
      <c r="I23" s="72" t="str">
        <f t="shared" si="2"/>
        <v>--</v>
      </c>
      <c r="J23" s="73">
        <f t="shared" si="2"/>
        <v>1.2455284552845527</v>
      </c>
    </row>
    <row r="24" spans="2:10" ht="15" customHeight="1" x14ac:dyDescent="0.25">
      <c r="B24" s="71" t="s">
        <v>13</v>
      </c>
      <c r="C24" s="72">
        <f t="shared" si="2"/>
        <v>1</v>
      </c>
      <c r="D24" s="72">
        <f t="shared" si="2"/>
        <v>2.4551282051282057</v>
      </c>
      <c r="E24" s="72" t="str">
        <f t="shared" si="2"/>
        <v>--</v>
      </c>
      <c r="F24" s="72" t="str">
        <f t="shared" si="2"/>
        <v>--</v>
      </c>
      <c r="G24" s="72" t="str">
        <f t="shared" si="2"/>
        <v>--</v>
      </c>
      <c r="H24" s="72">
        <f t="shared" si="2"/>
        <v>0.79791666666666672</v>
      </c>
      <c r="I24" s="72" t="str">
        <f t="shared" si="2"/>
        <v>--</v>
      </c>
      <c r="J24" s="73">
        <f t="shared" si="2"/>
        <v>0.77845528455284563</v>
      </c>
    </row>
    <row r="25" spans="2:10" ht="15" customHeight="1" x14ac:dyDescent="0.25">
      <c r="B25" s="71" t="s">
        <v>14</v>
      </c>
      <c r="C25" s="72">
        <f t="shared" si="2"/>
        <v>1</v>
      </c>
      <c r="D25" s="72">
        <f t="shared" si="2"/>
        <v>3.7610474631751227</v>
      </c>
      <c r="E25" s="72" t="str">
        <f t="shared" si="2"/>
        <v>--</v>
      </c>
      <c r="F25" s="72" t="str">
        <f t="shared" si="2"/>
        <v>--</v>
      </c>
      <c r="G25" s="72" t="str">
        <f t="shared" si="2"/>
        <v>--</v>
      </c>
      <c r="H25" s="72">
        <f t="shared" si="2"/>
        <v>0.40744680851063825</v>
      </c>
      <c r="I25" s="72" t="str">
        <f t="shared" si="2"/>
        <v>--</v>
      </c>
      <c r="J25" s="73">
        <f t="shared" si="2"/>
        <v>0.79501816294758687</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Cheboygan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1532</v>
      </c>
      <c r="D7" s="105">
        <f>'Data Entry'!D6</f>
        <v>26</v>
      </c>
      <c r="E7" s="106"/>
      <c r="F7" s="107">
        <f>'Data Entry'!E6</f>
        <v>42</v>
      </c>
      <c r="G7" s="106"/>
      <c r="H7" s="107">
        <f>'Data Entry'!F6</f>
        <v>16</v>
      </c>
      <c r="I7" s="106"/>
      <c r="J7" s="107">
        <f>'Data Entry'!G6</f>
        <v>0</v>
      </c>
      <c r="K7" s="106"/>
      <c r="L7" s="107">
        <f>'Data Entry'!H6</f>
        <v>80</v>
      </c>
      <c r="M7" s="106"/>
      <c r="N7" s="107">
        <f>'Data Entry'!I6</f>
        <v>0</v>
      </c>
      <c r="O7" s="106"/>
      <c r="P7" s="107">
        <f>'Data Entry'!J6</f>
        <v>164</v>
      </c>
      <c r="Q7" s="108"/>
    </row>
    <row r="8" spans="2:26" s="1" customFormat="1" ht="15" customHeight="1" x14ac:dyDescent="0.3">
      <c r="B8" s="149" t="s">
        <v>8</v>
      </c>
      <c r="C8" s="104">
        <f>'Data Entry'!C7</f>
        <v>4</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48</v>
      </c>
      <c r="D9" s="109">
        <f>'Data Entry'!D8</f>
        <v>3</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0</v>
      </c>
      <c r="O9" s="110" t="str">
        <f>'Other - Mixed'!G8</f>
        <v>*</v>
      </c>
      <c r="P9" s="111">
        <f>'Data Entry'!J8</f>
        <v>4</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t="e">
        <f>Hispanic!L9</f>
        <v>#VALUE!</v>
      </c>
      <c r="V10" s="1" t="e">
        <f>Asian!L9</f>
        <v>#VALUE!</v>
      </c>
      <c r="W10" s="1" t="e">
        <f>Hawaiian!L9</f>
        <v>#VALUE!</v>
      </c>
      <c r="X10" s="1">
        <f>'Am Indian'!L9</f>
        <v>40</v>
      </c>
      <c r="Y10" s="1" t="e">
        <f>'Other - Mixed'!L9</f>
        <v>#VALUE!</v>
      </c>
      <c r="Z10" s="1">
        <f>'All Minorities'!L9</f>
        <v>40</v>
      </c>
    </row>
    <row r="11" spans="2:26" s="1" customFormat="1" ht="15" customHeight="1" x14ac:dyDescent="0.3">
      <c r="B11" s="149" t="s">
        <v>11</v>
      </c>
      <c r="C11" s="104">
        <f>'Data Entry'!C10</f>
        <v>7</v>
      </c>
      <c r="D11" s="109">
        <f>'Data Entry'!D10</f>
        <v>2</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2</v>
      </c>
      <c r="Q11" s="112" t="str">
        <f>'All Minorities'!G10</f>
        <v>**</v>
      </c>
      <c r="R11"/>
      <c r="T11" s="1">
        <f>'Black or African-American'!L10</f>
        <v>20</v>
      </c>
      <c r="U11" s="1" t="e">
        <f>Hispanic!L10</f>
        <v>#VALUE!</v>
      </c>
      <c r="V11" s="1" t="e">
        <f>Asian!L10</f>
        <v>#VALUE!</v>
      </c>
      <c r="W11" s="1" t="e">
        <f>Hawaiian!L10</f>
        <v>#VALUE!</v>
      </c>
      <c r="X11" s="1">
        <f>'Am Indian'!L10</f>
        <v>40</v>
      </c>
      <c r="Y11" s="1" t="e">
        <f>'Other - Mixed'!L10</f>
        <v>#VALUE!</v>
      </c>
      <c r="Z11" s="1">
        <f>'All Minorities'!L10</f>
        <v>40</v>
      </c>
    </row>
    <row r="12" spans="2:26" s="1" customFormat="1" ht="15" customHeight="1" x14ac:dyDescent="0.3">
      <c r="B12" s="149" t="s">
        <v>95</v>
      </c>
      <c r="C12" s="104">
        <f>'Data Entry'!C11</f>
        <v>30</v>
      </c>
      <c r="D12" s="113">
        <f>'Data Entry'!D11</f>
        <v>3</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1</v>
      </c>
      <c r="M12" s="114" t="str">
        <f>'Am Indian'!G11</f>
        <v>**</v>
      </c>
      <c r="N12" s="115">
        <f>'Data Entry'!I11</f>
        <v>0</v>
      </c>
      <c r="O12" s="114" t="str">
        <f>'Other - Mixed'!G11</f>
        <v>*</v>
      </c>
      <c r="P12" s="115">
        <f>'Data Entry'!J11</f>
        <v>4</v>
      </c>
      <c r="Q12" s="116" t="str">
        <f>'All Minorities'!G11</f>
        <v>**</v>
      </c>
      <c r="R12"/>
      <c r="T12" s="1">
        <f>'Black or African-American'!L11</f>
        <v>40</v>
      </c>
      <c r="U12" s="1" t="e">
        <f>Hispanic!L11</f>
        <v>#VALUE!</v>
      </c>
      <c r="V12" s="1" t="e">
        <f>Asian!L11</f>
        <v>#VALUE!</v>
      </c>
      <c r="W12" s="1" t="e">
        <f>Hawaiian!L11</f>
        <v>#VALUE!</v>
      </c>
      <c r="X12" s="1">
        <f>'Am Indian'!L11</f>
        <v>40</v>
      </c>
      <c r="Y12" s="1" t="e">
        <f>'Other - Mixed'!L11</f>
        <v>#VALUE!</v>
      </c>
      <c r="Z12" s="1">
        <f>'All Minorities'!L11</f>
        <v>40</v>
      </c>
    </row>
    <row r="13" spans="2:26" s="1" customFormat="1" ht="15" customHeight="1" x14ac:dyDescent="0.3">
      <c r="B13" s="149" t="s">
        <v>13</v>
      </c>
      <c r="C13" s="104">
        <f>'Data Entry'!C12</f>
        <v>24</v>
      </c>
      <c r="D13" s="109">
        <f>'Data Entry'!D12</f>
        <v>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v>
      </c>
      <c r="M13" s="110" t="str">
        <f>'Am Indian'!G12</f>
        <v>**</v>
      </c>
      <c r="N13" s="111">
        <f>'Data Entry'!I12</f>
        <v>0</v>
      </c>
      <c r="O13" s="110" t="str">
        <f>'Other - Mixed'!G12</f>
        <v>*</v>
      </c>
      <c r="P13" s="111">
        <f>'Data Entry'!J12</f>
        <v>2</v>
      </c>
      <c r="Q13" s="112" t="str">
        <f>'All Minorities'!G12</f>
        <v>**</v>
      </c>
      <c r="R13"/>
      <c r="T13" s="1">
        <f>'Black or African-American'!L12</f>
        <v>40</v>
      </c>
      <c r="U13" s="1" t="e">
        <f>Hispanic!L12</f>
        <v>#VALUE!</v>
      </c>
      <c r="V13" s="1" t="e">
        <f>Asian!L12</f>
        <v>#VALUE!</v>
      </c>
      <c r="W13" s="1" t="e">
        <f>Hawaiian!L12</f>
        <v>#VALUE!</v>
      </c>
      <c r="X13" s="1">
        <f>'Am Indian'!L12</f>
        <v>40</v>
      </c>
      <c r="Y13" s="1" t="e">
        <f>'Other - Mixed'!L12</f>
        <v>#VALUE!</v>
      </c>
      <c r="Z13" s="1">
        <f>'All Minorities'!L12</f>
        <v>40</v>
      </c>
    </row>
    <row r="14" spans="2:26" s="1" customFormat="1" ht="15" customHeight="1" x14ac:dyDescent="0.3">
      <c r="B14" s="149" t="s">
        <v>133</v>
      </c>
      <c r="C14" s="104">
        <f>'Data Entry'!C13</f>
        <v>47</v>
      </c>
      <c r="D14" s="113">
        <f>'Data Entry'!D13</f>
        <v>3</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1</v>
      </c>
      <c r="M14" s="114" t="str">
        <f>'Am Indian'!G13</f>
        <v>**</v>
      </c>
      <c r="N14" s="115">
        <f>'Data Entry'!I13</f>
        <v>0</v>
      </c>
      <c r="O14" s="114" t="str">
        <f>'Other - Mixed'!G13</f>
        <v>*</v>
      </c>
      <c r="P14" s="115">
        <f>'Data Entry'!J13</f>
        <v>4</v>
      </c>
      <c r="Q14" s="116" t="str">
        <f>'All Minorities'!G13</f>
        <v>**</v>
      </c>
      <c r="R14"/>
      <c r="T14" s="1">
        <f>'Black or African-American'!L13</f>
        <v>40</v>
      </c>
      <c r="U14" s="1" t="e">
        <f>Hispanic!L13</f>
        <v>#VALUE!</v>
      </c>
      <c r="V14" s="1" t="e">
        <f>Asian!L13</f>
        <v>#VALUE!</v>
      </c>
      <c r="W14" s="1" t="e">
        <f>Hawaiian!L13</f>
        <v>#VALUE!</v>
      </c>
      <c r="X14" s="1">
        <f>'Am Indian'!L13</f>
        <v>40</v>
      </c>
      <c r="Y14" s="1" t="e">
        <f>'Other - Mixed'!L13</f>
        <v>#VALUE!</v>
      </c>
      <c r="Z14" s="1">
        <f>'All Minorities'!L13</f>
        <v>40</v>
      </c>
    </row>
    <row r="15" spans="2:26" s="1" customFormat="1" ht="33" x14ac:dyDescent="0.3">
      <c r="B15" s="151"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f>'Am Indian'!L14</f>
        <v>40</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Cheboygan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Cheboygan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9.3414634146341449</v>
      </c>
    </row>
    <row r="8" spans="1:12" ht="25.5" customHeight="1" x14ac:dyDescent="0.2">
      <c r="A8" s="158" t="str">
        <f>CONCATENATE("Confinement, total N=", 'Data Entry'!B14)</f>
        <v>Confinement, total N=5</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N=5</v>
      </c>
      <c r="L8">
        <f>I14/(SUM(B14:G14))</f>
        <v>9.3414634146341449</v>
      </c>
    </row>
    <row r="9" spans="1:12" x14ac:dyDescent="0.2">
      <c r="A9" s="132" t="str">
        <f>CONCATENATE("Delinquent Findings, total N=", 'Data Entry'!B12)</f>
        <v>Delinquent Findings, total N=26</v>
      </c>
      <c r="B9" s="157">
        <f>'Data Entry'!D12/'Data Entry'!B12</f>
        <v>3.8461538461538464E-2</v>
      </c>
      <c r="C9" s="157">
        <f>'Data Entry'!E12/'Data Entry'!B12</f>
        <v>0</v>
      </c>
      <c r="D9" s="157">
        <f>'Data Entry'!F12/'Data Entry'!B12</f>
        <v>0</v>
      </c>
      <c r="E9" s="157">
        <f>'Data Entry'!G12/'Data Entry'!B12</f>
        <v>0</v>
      </c>
      <c r="F9" s="157">
        <f>'Data Entry'!H12/'Data Entry'!B12</f>
        <v>3.8461538461538464E-2</v>
      </c>
      <c r="G9" s="157">
        <f>'Data Entry'!I12/'Data Entry'!B12</f>
        <v>0</v>
      </c>
      <c r="H9" s="157">
        <f>SUM(D9:G9)/'Data Entry'!B12</f>
        <v>1.4792899408284025E-3</v>
      </c>
      <c r="I9" s="157">
        <f>'Data Entry'!C12/'Data Entry'!B12</f>
        <v>0.92307692307692313</v>
      </c>
      <c r="K9" s="97" t="str">
        <f t="shared" si="0"/>
        <v>Delinquent Findings, total N=26</v>
      </c>
      <c r="L9">
        <f>I14/(SUM(B14:G14))</f>
        <v>9.3414634146341449</v>
      </c>
    </row>
    <row r="10" spans="1:12" x14ac:dyDescent="0.2">
      <c r="A10" s="132" t="str">
        <f>CONCATENATE("Petitions, total N=", 'Data Entry'!B11)</f>
        <v>Petitions, total N=34</v>
      </c>
      <c r="B10" s="157">
        <f>'Data Entry'!D11/'Data Entry'!B11</f>
        <v>8.8235294117647065E-2</v>
      </c>
      <c r="C10" s="157">
        <f>'Data Entry'!E11/'Data Entry'!B11</f>
        <v>0</v>
      </c>
      <c r="D10" s="157">
        <f>'Data Entry'!F11/'Data Entry'!B11</f>
        <v>0</v>
      </c>
      <c r="E10" s="157">
        <f>'Data Entry'!G11/'Data Entry'!B11</f>
        <v>0</v>
      </c>
      <c r="F10" s="157">
        <f>'Data Entry'!H11/'Data Entry'!B11</f>
        <v>2.9411764705882353E-2</v>
      </c>
      <c r="G10" s="157">
        <f>'Data Entry'!I11/'Data Entry'!B11</f>
        <v>0</v>
      </c>
      <c r="H10" s="157">
        <f>SUM(D10:G10)/'Data Entry'!B11</f>
        <v>8.6505190311418688E-4</v>
      </c>
      <c r="I10" s="157">
        <f>'Data Entry'!C11/'Data Entry'!B11</f>
        <v>0.88235294117647056</v>
      </c>
      <c r="K10" s="97" t="str">
        <f t="shared" si="0"/>
        <v>Petitions, total N=34</v>
      </c>
      <c r="L10">
        <f>I14/(SUM(B14:G14))</f>
        <v>9.3414634146341449</v>
      </c>
    </row>
    <row r="11" spans="1:12" x14ac:dyDescent="0.2">
      <c r="A11" s="132" t="str">
        <f>CONCATENATE("Detentions, total N=", 'Data Entry'!B10)</f>
        <v>Detentions, total N=9</v>
      </c>
      <c r="B11" s="157">
        <f>'Data Entry'!D10/'Data Entry'!B10</f>
        <v>0.22222222222222221</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0.77777777777777779</v>
      </c>
      <c r="K11" s="97" t="str">
        <f t="shared" si="0"/>
        <v>Detentions, total N=9</v>
      </c>
      <c r="L11">
        <f>I14/(SUM(B14:G14))</f>
        <v>9.3414634146341449</v>
      </c>
    </row>
    <row r="12" spans="1:12" x14ac:dyDescent="0.2">
      <c r="A12" s="132" t="str">
        <f>CONCATENATE("Referrals, total N=", 'Data Entry'!B8)</f>
        <v>Referrals, total N=52</v>
      </c>
      <c r="B12" s="157">
        <f>'Data Entry'!D8/'Data Entry'!B8</f>
        <v>5.7692307692307696E-2</v>
      </c>
      <c r="C12" s="157">
        <f>'Data Entry'!E8/'Data Entry'!B8</f>
        <v>0</v>
      </c>
      <c r="D12" s="157">
        <f>'Data Entry'!F8/'Data Entry'!B8</f>
        <v>0</v>
      </c>
      <c r="E12" s="157">
        <f>'Data Entry'!G8/'Data Entry'!B8</f>
        <v>0</v>
      </c>
      <c r="F12" s="157">
        <f>'Data Entry'!H8/'Data Entry'!B8</f>
        <v>1.9230769230769232E-2</v>
      </c>
      <c r="G12" s="157">
        <f>'Data Entry'!I8/'Data Entry'!B8</f>
        <v>0</v>
      </c>
      <c r="H12" s="157">
        <f>SUM(D12:G12)/'Data Entry'!B8</f>
        <v>3.6982248520710064E-4</v>
      </c>
      <c r="I12" s="157">
        <f>'Data Entry'!C8/'Data Entry'!B8</f>
        <v>0.92307692307692313</v>
      </c>
      <c r="K12" s="97" t="str">
        <f t="shared" si="0"/>
        <v>Referrals, total N=52</v>
      </c>
      <c r="L12">
        <f>I14/(SUM(B14:G14))</f>
        <v>9.3414634146341449</v>
      </c>
    </row>
    <row r="13" spans="1:12" x14ac:dyDescent="0.2">
      <c r="A13" s="132" t="str">
        <f>CONCATENATE("Arrests, total N=", 'Data Entry'!B7)</f>
        <v>Arrests, total N=5</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v>
      </c>
      <c r="K13" s="97" t="str">
        <f t="shared" si="0"/>
        <v>Arrests, total N=5</v>
      </c>
      <c r="L13">
        <f>I14/(SUM(B14:G14))</f>
        <v>9.3414634146341449</v>
      </c>
    </row>
    <row r="14" spans="1:12" x14ac:dyDescent="0.2">
      <c r="A14" s="132" t="str">
        <f>CONCATENATE("Population, total N=", 'Data Entry'!B6)</f>
        <v>Population, total N=1696</v>
      </c>
      <c r="B14" s="157">
        <f>'Data Entry'!D6/'Data Entry'!B6</f>
        <v>1.5330188679245283E-2</v>
      </c>
      <c r="C14" s="157">
        <f>'Data Entry'!E6/'Data Entry'!B6</f>
        <v>2.4764150943396228E-2</v>
      </c>
      <c r="D14" s="157">
        <f>'Data Entry'!F6/'Data Entry'!B6</f>
        <v>9.433962264150943E-3</v>
      </c>
      <c r="E14" s="157">
        <f>'Data Entry'!G6/'Data Entry'!B6</f>
        <v>0</v>
      </c>
      <c r="F14" s="157">
        <f>'Data Entry'!H6/'Data Entry'!B6</f>
        <v>4.716981132075472E-2</v>
      </c>
      <c r="G14" s="157">
        <f>'Data Entry'!I6/'Data Entry'!B6</f>
        <v>0</v>
      </c>
      <c r="H14" s="157">
        <f>SUM(D14:G14)/'Data Entry'!B6</f>
        <v>3.3374866500534E-5</v>
      </c>
      <c r="I14" s="157">
        <f>'Data Entry'!C6/'Data Entry'!B6</f>
        <v>0.90330188679245282</v>
      </c>
      <c r="K14" s="97" t="str">
        <f t="shared" si="0"/>
        <v>Population, total N=1696</v>
      </c>
      <c r="L14">
        <f>I14/(SUM(B14:G14))</f>
        <v>9.3414634146341449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Cheboygan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1532</v>
      </c>
      <c r="D7" s="105">
        <f>'Data Entry'!D6</f>
        <v>26</v>
      </c>
      <c r="E7" s="106"/>
      <c r="F7" s="107">
        <f>'Data Entry'!E6</f>
        <v>42</v>
      </c>
      <c r="G7" s="106"/>
      <c r="H7" s="107">
        <f>'Data Entry'!F6</f>
        <v>16</v>
      </c>
      <c r="I7" s="106"/>
      <c r="J7" s="107">
        <f>'Data Entry'!J6</f>
        <v>164</v>
      </c>
      <c r="K7" s="108"/>
    </row>
    <row r="8" spans="2:30" s="1" customFormat="1" ht="15" customHeight="1" x14ac:dyDescent="0.3">
      <c r="B8" s="125" t="s">
        <v>8</v>
      </c>
      <c r="C8" s="104">
        <f>'Data Entry'!C7</f>
        <v>4</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48</v>
      </c>
      <c r="D9" s="109">
        <f>'Data Entry'!D8</f>
        <v>3</v>
      </c>
      <c r="E9" s="110" t="str">
        <f>'Black or African-American'!$G8</f>
        <v>**</v>
      </c>
      <c r="F9" s="111">
        <f>'Data Entry'!E8</f>
        <v>0</v>
      </c>
      <c r="G9" s="110" t="str">
        <f>Hispanic!G8</f>
        <v>**</v>
      </c>
      <c r="H9" s="111">
        <f>'Data Entry'!F8</f>
        <v>0</v>
      </c>
      <c r="I9" s="110" t="str">
        <f>Asian!G8</f>
        <v>*</v>
      </c>
      <c r="J9" s="111">
        <f>'Data Entry'!J8</f>
        <v>4</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t="e">
        <f>Hispanic!L9</f>
        <v>#VALUE!</v>
      </c>
      <c r="P10" s="1" t="e">
        <f>Asian!L9</f>
        <v>#VALUE!</v>
      </c>
      <c r="Q10" s="1" t="e">
        <f>Hawaiian!L9</f>
        <v>#VALUE!</v>
      </c>
      <c r="R10" s="1">
        <f>'Am Indian'!L9</f>
        <v>40</v>
      </c>
      <c r="S10" s="1" t="e">
        <f>'Other - Mixed'!L9</f>
        <v>#VALUE!</v>
      </c>
      <c r="T10" s="1">
        <f>'All Minorities'!L9</f>
        <v>40</v>
      </c>
    </row>
    <row r="11" spans="2:30" s="1" customFormat="1" ht="15" customHeight="1" x14ac:dyDescent="0.3">
      <c r="B11" s="125" t="s">
        <v>11</v>
      </c>
      <c r="C11" s="104">
        <f>'Data Entry'!C10</f>
        <v>7</v>
      </c>
      <c r="D11" s="109">
        <f>'Data Entry'!D10</f>
        <v>2</v>
      </c>
      <c r="E11" s="110" t="str">
        <f>'Black or African-American'!$G10</f>
        <v>**</v>
      </c>
      <c r="F11" s="111">
        <f>'Data Entry'!E10</f>
        <v>0</v>
      </c>
      <c r="G11" s="110" t="str">
        <f>Hispanic!G10</f>
        <v>--</v>
      </c>
      <c r="H11" s="111">
        <f>'Data Entry'!F10</f>
        <v>0</v>
      </c>
      <c r="I11" s="110" t="str">
        <f>Asian!G10</f>
        <v>*</v>
      </c>
      <c r="J11" s="111">
        <f>'Data Entry'!J10</f>
        <v>2</v>
      </c>
      <c r="K11" s="112" t="str">
        <f>'All Minorities'!G10</f>
        <v>**</v>
      </c>
      <c r="L11"/>
      <c r="N11" s="1">
        <f>'Black or African-American'!L10</f>
        <v>20</v>
      </c>
      <c r="O11" s="1" t="e">
        <f>Hispanic!L10</f>
        <v>#VALUE!</v>
      </c>
      <c r="P11" s="1" t="e">
        <f>Asian!L10</f>
        <v>#VALUE!</v>
      </c>
      <c r="Q11" s="1" t="e">
        <f>Hawaiian!L10</f>
        <v>#VALUE!</v>
      </c>
      <c r="R11" s="1">
        <f>'Am Indian'!L10</f>
        <v>40</v>
      </c>
      <c r="S11" s="1" t="e">
        <f>'Other - Mixed'!L10</f>
        <v>#VALUE!</v>
      </c>
      <c r="T11" s="1">
        <f>'All Minorities'!L10</f>
        <v>40</v>
      </c>
    </row>
    <row r="12" spans="2:30" s="1" customFormat="1" ht="15" customHeight="1" x14ac:dyDescent="0.3">
      <c r="B12" s="125" t="s">
        <v>95</v>
      </c>
      <c r="C12" s="104">
        <f>'Data Entry'!C11</f>
        <v>30</v>
      </c>
      <c r="D12" s="113">
        <f>'Data Entry'!D11</f>
        <v>3</v>
      </c>
      <c r="E12" s="114" t="str">
        <f>'Black or African-American'!$G11</f>
        <v>**</v>
      </c>
      <c r="F12" s="115">
        <f>'Data Entry'!E11</f>
        <v>0</v>
      </c>
      <c r="G12" s="114" t="str">
        <f>Hispanic!G11</f>
        <v>--</v>
      </c>
      <c r="H12" s="115">
        <f>'Data Entry'!F11</f>
        <v>0</v>
      </c>
      <c r="I12" s="114" t="str">
        <f>Asian!G11</f>
        <v>*</v>
      </c>
      <c r="J12" s="115">
        <f>'Data Entry'!J11</f>
        <v>4</v>
      </c>
      <c r="K12" s="116" t="str">
        <f>'All Minorities'!G11</f>
        <v>**</v>
      </c>
      <c r="L12"/>
      <c r="N12" s="1">
        <f>'Black or African-American'!L11</f>
        <v>40</v>
      </c>
      <c r="O12" s="1" t="e">
        <f>Hispanic!L11</f>
        <v>#VALUE!</v>
      </c>
      <c r="P12" s="1" t="e">
        <f>Asian!L11</f>
        <v>#VALUE!</v>
      </c>
      <c r="Q12" s="1" t="e">
        <f>Hawaiian!L11</f>
        <v>#VALUE!</v>
      </c>
      <c r="R12" s="1">
        <f>'Am Indian'!L11</f>
        <v>40</v>
      </c>
      <c r="S12" s="1" t="e">
        <f>'Other - Mixed'!L11</f>
        <v>#VALUE!</v>
      </c>
      <c r="T12" s="1">
        <f>'All Minorities'!L11</f>
        <v>40</v>
      </c>
    </row>
    <row r="13" spans="2:30" s="1" customFormat="1" ht="15" customHeight="1" x14ac:dyDescent="0.3">
      <c r="B13" s="125" t="s">
        <v>13</v>
      </c>
      <c r="C13" s="104">
        <f>'Data Entry'!C12</f>
        <v>24</v>
      </c>
      <c r="D13" s="109">
        <f>'Data Entry'!D12</f>
        <v>1</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f>'Black or African-American'!L12</f>
        <v>40</v>
      </c>
      <c r="O13" s="1" t="e">
        <f>Hispanic!L12</f>
        <v>#VALUE!</v>
      </c>
      <c r="P13" s="1" t="e">
        <f>Asian!L12</f>
        <v>#VALUE!</v>
      </c>
      <c r="Q13" s="1" t="e">
        <f>Hawaiian!L12</f>
        <v>#VALUE!</v>
      </c>
      <c r="R13" s="1">
        <f>'Am Indian'!L12</f>
        <v>40</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47</v>
      </c>
      <c r="D14" s="113">
        <f>'Data Entry'!D13</f>
        <v>3</v>
      </c>
      <c r="E14" s="114" t="str">
        <f>'Black or African-American'!$G13</f>
        <v>**</v>
      </c>
      <c r="F14" s="115">
        <f>'Data Entry'!E13</f>
        <v>0</v>
      </c>
      <c r="G14" s="114" t="str">
        <f>Hispanic!G13</f>
        <v>--</v>
      </c>
      <c r="H14" s="115">
        <f>'Data Entry'!F13</f>
        <v>0</v>
      </c>
      <c r="I14" s="114" t="str">
        <f>Asian!G13</f>
        <v>*</v>
      </c>
      <c r="J14" s="115">
        <f>'Data Entry'!J13</f>
        <v>4</v>
      </c>
      <c r="K14" s="116" t="str">
        <f>'All Minorities'!G13</f>
        <v>**</v>
      </c>
      <c r="L14"/>
      <c r="N14" s="1">
        <f>'Black or African-American'!L13</f>
        <v>40</v>
      </c>
      <c r="O14" s="1" t="e">
        <f>Hispanic!L13</f>
        <v>#VALUE!</v>
      </c>
      <c r="P14" s="1" t="e">
        <f>Asian!L13</f>
        <v>#VALUE!</v>
      </c>
      <c r="Q14" s="1" t="e">
        <f>Hawaiian!L13</f>
        <v>#VALUE!</v>
      </c>
      <c r="R14" s="1">
        <f>'Am Indian'!L13</f>
        <v>40</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f>'Am Indian'!L14</f>
        <v>40</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Entry'!D6</f>
        <v>26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26</v>
      </c>
      <c r="P7" s="42">
        <f t="shared" ref="P7:P15" si="2">C7</f>
        <v>4</v>
      </c>
      <c r="Q7" s="42">
        <f>C6-C7</f>
        <v>1528</v>
      </c>
      <c r="R7" s="42">
        <f t="shared" ref="R7:R15" si="3">SUM(N7:Q7)</f>
        <v>1558</v>
      </c>
      <c r="S7" s="30">
        <f t="shared" ref="S7:S15" si="4">R7*((((N7*Q7)-(O7*P7))^2))</f>
        <v>16851328</v>
      </c>
      <c r="T7" s="30">
        <f t="shared" ref="T7:T15" si="5">(N7+O7)*(P7+Q7)*(N7+P7)*(O7+Q7)</f>
        <v>247595712</v>
      </c>
      <c r="U7" s="31">
        <f t="shared" ref="U7:U15" si="6">IF((S7&gt;0),S7/T7,"- -")</f>
        <v>6.8059853960637254E-2</v>
      </c>
    </row>
    <row r="8" spans="2:21" ht="18" customHeight="1" x14ac:dyDescent="0.25">
      <c r="B8" s="32" t="str">
        <f>'Data Entry'!A8</f>
        <v>3. Refer to Juvenile Court</v>
      </c>
      <c r="C8" s="33">
        <f>'Data Entry'!C8</f>
        <v>48</v>
      </c>
      <c r="D8" s="34">
        <f>IF((AND(C67&gt;0,C8&gt;0)),(C8/C67),0)</f>
        <v>1200</v>
      </c>
      <c r="E8" s="33">
        <f>'Data Entry'!D8</f>
        <v>3</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-2.95</v>
      </c>
      <c r="P8" s="42">
        <f t="shared" si="2"/>
        <v>48</v>
      </c>
      <c r="Q8" s="42">
        <f>(C$67*L67)-C8</f>
        <v>-44</v>
      </c>
      <c r="R8" s="42">
        <f t="shared" si="3"/>
        <v>4.0499999999999972</v>
      </c>
      <c r="S8" s="30">
        <f t="shared" si="4"/>
        <v>373.24800000000153</v>
      </c>
      <c r="T8" s="30">
        <f t="shared" si="5"/>
        <v>-478.88999999999834</v>
      </c>
      <c r="U8" s="31">
        <f t="shared" si="6"/>
        <v>-0.77940236797595031</v>
      </c>
    </row>
    <row r="9" spans="2:21" ht="18" customHeight="1" x14ac:dyDescent="0.25">
      <c r="B9" s="32" t="str">
        <f>'Data Entry'!A9</f>
        <v xml:space="preserve">4. Cases Diverted </v>
      </c>
      <c r="C9" s="33">
        <f>'Data Entry'!C9</f>
        <v>1</v>
      </c>
      <c r="D9" s="34">
        <f>IF((AND(C68&gt;0,C9&gt;0)),((C9/C68)),0)</f>
        <v>2.0833333333333335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3</v>
      </c>
      <c r="P9" s="42">
        <f t="shared" si="2"/>
        <v>1</v>
      </c>
      <c r="Q9" s="42">
        <f>(C$68*L68)-C9</f>
        <v>47</v>
      </c>
      <c r="R9" s="42">
        <f t="shared" si="3"/>
        <v>51</v>
      </c>
      <c r="S9" s="30">
        <f t="shared" si="4"/>
        <v>459</v>
      </c>
      <c r="T9" s="30">
        <f t="shared" si="5"/>
        <v>7200</v>
      </c>
      <c r="U9" s="31">
        <f t="shared" si="6"/>
        <v>6.3750000000000001E-2</v>
      </c>
    </row>
    <row r="10" spans="2:21" ht="18" customHeight="1" x14ac:dyDescent="0.25">
      <c r="B10" s="32" t="str">
        <f>'Data Entry'!A10</f>
        <v>5. Cases Involving Secure Detention</v>
      </c>
      <c r="C10" s="33">
        <f>'Data Entry'!C10</f>
        <v>7</v>
      </c>
      <c r="D10" s="34">
        <f>IF(((AND(C68&gt;0,C10&gt;0))),(C10/(C68)),0)</f>
        <v>14.583333333333334</v>
      </c>
      <c r="E10" s="33">
        <f>'Data Entry'!D10</f>
        <v>2</v>
      </c>
      <c r="F10" s="34">
        <f>IF(((AND($E$10&gt;0,$D$68&gt;0))),($E$10/($D$68)),0)</f>
        <v>66.666666666666671</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2</v>
      </c>
      <c r="O10" s="42">
        <f>(D$68*L68)-E10</f>
        <v>1</v>
      </c>
      <c r="P10" s="42">
        <f t="shared" si="2"/>
        <v>7</v>
      </c>
      <c r="Q10" s="42">
        <f>(C$68*L68)-C10</f>
        <v>41</v>
      </c>
      <c r="R10" s="42">
        <f t="shared" si="3"/>
        <v>51</v>
      </c>
      <c r="S10" s="30">
        <f t="shared" si="4"/>
        <v>286875</v>
      </c>
      <c r="T10" s="30">
        <f t="shared" si="5"/>
        <v>54432</v>
      </c>
      <c r="U10" s="31">
        <f t="shared" si="6"/>
        <v>5.2703373015873014</v>
      </c>
    </row>
    <row r="11" spans="2:21" ht="18" customHeight="1" x14ac:dyDescent="0.25">
      <c r="B11" s="32" t="str">
        <f>'Data Entry'!A11</f>
        <v>6. Cases Petitioned (Charge Filed)</v>
      </c>
      <c r="C11" s="33">
        <f>'Data Entry'!C11</f>
        <v>30</v>
      </c>
      <c r="D11" s="34">
        <f>IF(((AND(C68&gt;0,C11&gt;0))),(C11/(C68)),0)</f>
        <v>62.5</v>
      </c>
      <c r="E11" s="33">
        <f>'Data Entry'!D11</f>
        <v>3</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0</v>
      </c>
      <c r="P11" s="42">
        <f t="shared" si="2"/>
        <v>30</v>
      </c>
      <c r="Q11" s="42">
        <f>(C$68*L68)-C11</f>
        <v>18</v>
      </c>
      <c r="R11" s="42">
        <f t="shared" si="3"/>
        <v>51</v>
      </c>
      <c r="S11" s="30">
        <f t="shared" si="4"/>
        <v>148716</v>
      </c>
      <c r="T11" s="30">
        <f t="shared" si="5"/>
        <v>85536</v>
      </c>
      <c r="U11" s="31">
        <f t="shared" si="6"/>
        <v>1.7386363636363635</v>
      </c>
    </row>
    <row r="12" spans="2:21" ht="18" customHeight="1" x14ac:dyDescent="0.25">
      <c r="B12" s="32" t="str">
        <f>'Data Entry'!A12</f>
        <v>7. Cases Resulting in Delinquent Findings</v>
      </c>
      <c r="C12" s="33">
        <f>'Data Entry'!C12</f>
        <v>24</v>
      </c>
      <c r="D12" s="34">
        <f>IF(((AND(C69&gt;0,C12&gt;0))),(C12/(C69)),0)</f>
        <v>80</v>
      </c>
      <c r="E12" s="33">
        <f>'Data Entry'!D12</f>
        <v>1</v>
      </c>
      <c r="F12" s="34">
        <f>IF(((AND($D$69&gt;0,$E$12&gt;0))),(E12/(D69)),0)</f>
        <v>33.333333333333336</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2</v>
      </c>
      <c r="P12" s="42">
        <f t="shared" si="2"/>
        <v>24</v>
      </c>
      <c r="Q12" s="42">
        <f>(C69*L69)-C12</f>
        <v>6</v>
      </c>
      <c r="R12" s="42">
        <f t="shared" si="3"/>
        <v>33</v>
      </c>
      <c r="S12" s="30">
        <f t="shared" si="4"/>
        <v>58212</v>
      </c>
      <c r="T12" s="30">
        <f t="shared" si="5"/>
        <v>18000</v>
      </c>
      <c r="U12" s="31">
        <f t="shared" si="6"/>
        <v>3.234</v>
      </c>
    </row>
    <row r="13" spans="2:21" ht="18" customHeight="1" x14ac:dyDescent="0.25">
      <c r="B13" s="32" t="str">
        <f>'Data Entry'!A13</f>
        <v>8. Cases Resulting in Probation Placement</v>
      </c>
      <c r="C13" s="33">
        <f>'Data Entry'!C13</f>
        <v>47</v>
      </c>
      <c r="D13" s="34">
        <f>IF(((AND(C70&gt;0,C13&gt;0))),(C13/(C70)),0)</f>
        <v>195.83333333333334</v>
      </c>
      <c r="E13" s="33">
        <f>'Data Entry'!D13</f>
        <v>3</v>
      </c>
      <c r="F13" s="34">
        <f>IF(((AND($D$70&gt;0,$E$13&gt;0))),($E$13/($D$70)),0)</f>
        <v>300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3</v>
      </c>
      <c r="O13" s="42">
        <f>(D70*L70)-E13</f>
        <v>-2</v>
      </c>
      <c r="P13" s="42">
        <f t="shared" si="2"/>
        <v>47</v>
      </c>
      <c r="Q13" s="42">
        <f>(C70*L70)-C13</f>
        <v>-23</v>
      </c>
      <c r="R13" s="42">
        <f t="shared" si="3"/>
        <v>25</v>
      </c>
      <c r="S13" s="30">
        <f t="shared" si="4"/>
        <v>15625</v>
      </c>
      <c r="T13" s="30">
        <f t="shared" si="5"/>
        <v>-30000</v>
      </c>
      <c r="U13" s="31">
        <f t="shared" si="6"/>
        <v>-0.52083333333333337</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5</v>
      </c>
      <c r="Q14" s="42">
        <f>(C70*L70)-C14</f>
        <v>19</v>
      </c>
      <c r="R14" s="42">
        <f t="shared" si="3"/>
        <v>25</v>
      </c>
      <c r="S14" s="30">
        <f t="shared" si="4"/>
        <v>625</v>
      </c>
      <c r="T14" s="30">
        <f t="shared" si="5"/>
        <v>2400</v>
      </c>
      <c r="U14" s="31">
        <f t="shared" si="6"/>
        <v>0.26041666666666669</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30</v>
      </c>
      <c r="R15" s="42">
        <f t="shared" si="3"/>
        <v>33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2.5999999999999999E-2</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0.03</v>
      </c>
      <c r="E44" s="56">
        <f>MAX(C44:D44,0)</f>
        <v>0.48</v>
      </c>
      <c r="G44" s="1" t="str">
        <f>B44</f>
        <v>per 100 referrals</v>
      </c>
      <c r="L44" s="57">
        <v>100</v>
      </c>
      <c r="M44" s="57"/>
      <c r="R44" s="49"/>
    </row>
    <row r="45" spans="2:18" ht="15" hidden="1" customHeight="1" x14ac:dyDescent="0.25">
      <c r="B45" s="49" t="s">
        <v>89</v>
      </c>
      <c r="C45" s="49">
        <f>C11/100</f>
        <v>0.3</v>
      </c>
      <c r="D45" s="49">
        <f>E11/100</f>
        <v>0.03</v>
      </c>
      <c r="E45" s="56">
        <f>MAX(C45:D45,0)</f>
        <v>0.3</v>
      </c>
      <c r="G45" s="1" t="str">
        <f>B45</f>
        <v>per 100 youth petitioned</v>
      </c>
      <c r="L45" s="57">
        <v>100</v>
      </c>
      <c r="M45" s="57"/>
      <c r="R45" s="49"/>
    </row>
    <row r="46" spans="2:18" ht="15" hidden="1" customHeight="1" x14ac:dyDescent="0.25">
      <c r="B46" s="49" t="s">
        <v>90</v>
      </c>
      <c r="C46" s="49">
        <f>C12/100</f>
        <v>0.24</v>
      </c>
      <c r="D46" s="49">
        <f>E12/100</f>
        <v>0.01</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2.5999999999999999E-2</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0.03</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0.03</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2.5999999999999999E-2</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0.03</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0.03</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2.5999999999999999E-2</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0.03</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0.03</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2.5999999999999999E-2</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0.03</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0.03</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Entry'!F6</f>
        <v>16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16</v>
      </c>
      <c r="P7" s="42">
        <f t="shared" ref="P7:P15" si="4">C7</f>
        <v>4</v>
      </c>
      <c r="Q7" s="42">
        <f>C6-C7</f>
        <v>1528</v>
      </c>
      <c r="R7" s="42">
        <f t="shared" ref="R7:R15" si="5">SUM(N7:Q7)</f>
        <v>1548</v>
      </c>
      <c r="S7" s="30">
        <f t="shared" ref="S7:S15" si="6">R7*((((N7*Q7)-(O7*P7))^2))</f>
        <v>6340608</v>
      </c>
      <c r="T7" s="30">
        <f t="shared" ref="T7:T15" si="7">(N7+O7)*(P7+Q7)*(N7+P7)*(O7+Q7)</f>
        <v>151386112</v>
      </c>
      <c r="U7" s="31">
        <f t="shared" ref="U7:U15" si="8">IF((S7&gt;0),S7/T7,"- -")</f>
        <v>4.1883683491389226E-2</v>
      </c>
    </row>
    <row r="8" spans="2:21" ht="18" customHeight="1" x14ac:dyDescent="0.25">
      <c r="B8" s="32" t="str">
        <f>'Data Entry'!A8</f>
        <v>3. Refer to Juvenile Court</v>
      </c>
      <c r="C8" s="33">
        <f>'Data Entry'!C8</f>
        <v>48</v>
      </c>
      <c r="D8" s="34">
        <f>IF((AND(C67&gt;0,C8&gt;0)),(C8/C67),0)</f>
        <v>1200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-44</v>
      </c>
      <c r="R8" s="42">
        <f t="shared" si="5"/>
        <v>4.0499999999999972</v>
      </c>
      <c r="S8" s="30">
        <f t="shared" si="6"/>
        <v>23.327999999999989</v>
      </c>
      <c r="T8" s="30">
        <f t="shared" si="7"/>
        <v>-421.92000000000007</v>
      </c>
      <c r="U8" s="31">
        <f t="shared" si="8"/>
        <v>-5.5290102389078465E-2</v>
      </c>
    </row>
    <row r="9" spans="2:21" ht="18" customHeight="1" x14ac:dyDescent="0.25">
      <c r="B9" s="32" t="str">
        <f>'Data Entry'!A9</f>
        <v xml:space="preserve">4. Cases Diverted </v>
      </c>
      <c r="C9" s="33">
        <f>'Data Entry'!C9</f>
        <v>1</v>
      </c>
      <c r="D9" s="34">
        <f>IF((AND(C68&gt;0,C9&gt;0)),((C9/C68)),0)</f>
        <v>2.0833333333333335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47</v>
      </c>
      <c r="R9" s="42">
        <f t="shared" si="5"/>
        <v>48</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14.583333333333334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41</v>
      </c>
      <c r="R10" s="42">
        <f t="shared" si="5"/>
        <v>48</v>
      </c>
      <c r="S10" s="30">
        <f t="shared" si="6"/>
        <v>0</v>
      </c>
      <c r="T10" s="30">
        <f t="shared" si="7"/>
        <v>0</v>
      </c>
      <c r="U10" s="31" t="str">
        <f t="shared" si="8"/>
        <v>- -</v>
      </c>
    </row>
    <row r="11" spans="2:21" ht="18" customHeight="1" x14ac:dyDescent="0.25">
      <c r="B11" s="32" t="str">
        <f>'Data Entry'!A11</f>
        <v>6. Cases Petitioned (Charge Filed)</v>
      </c>
      <c r="C11" s="33">
        <f>'Data Entry'!C11</f>
        <v>30</v>
      </c>
      <c r="D11" s="34">
        <f>IF(((AND(C68&gt;0,C11&gt;0))),(C11/(C68)),0)</f>
        <v>62.5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18</v>
      </c>
      <c r="R11" s="42">
        <f t="shared" si="5"/>
        <v>48</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6</v>
      </c>
      <c r="R12" s="42">
        <f t="shared" si="5"/>
        <v>30</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1.6E-2</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v>
      </c>
      <c r="E44" s="56">
        <f>MAX(C44:D44,0)</f>
        <v>0.48</v>
      </c>
      <c r="G44" s="1" t="str">
        <f>B44</f>
        <v>per 100 referrals</v>
      </c>
      <c r="L44" s="57">
        <v>100</v>
      </c>
      <c r="M44" s="57"/>
      <c r="R44" s="49"/>
    </row>
    <row r="45" spans="2:18" ht="15" hidden="1" customHeight="1" x14ac:dyDescent="0.25">
      <c r="B45" s="49" t="s">
        <v>89</v>
      </c>
      <c r="C45" s="49">
        <f>C11/100</f>
        <v>0.3</v>
      </c>
      <c r="D45" s="49">
        <f>E11/100</f>
        <v>0</v>
      </c>
      <c r="E45" s="56">
        <f>MAX(C45:D45,0)</f>
        <v>0.3</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1.6E-2</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1.6E-2</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1.6E-2</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1.6E-2</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Entry'!E6</f>
        <v>42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42</v>
      </c>
      <c r="P7" s="42">
        <f t="shared" ref="P7:P15" si="4">C7</f>
        <v>4</v>
      </c>
      <c r="Q7" s="42">
        <f>C6-C7</f>
        <v>1528</v>
      </c>
      <c r="R7" s="42">
        <f t="shared" ref="R7:R15" si="5">SUM(N7:Q7)</f>
        <v>1574</v>
      </c>
      <c r="S7" s="30">
        <f t="shared" ref="S7:S15" si="6">R7*((((N7*Q7)-(O7*P7))^2))</f>
        <v>44424576</v>
      </c>
      <c r="T7" s="30">
        <f t="shared" ref="T7:T15" si="7">(N7+O7)*(P7+Q7)*(N7+P7)*(O7+Q7)</f>
        <v>404080320</v>
      </c>
      <c r="U7" s="31">
        <f t="shared" ref="U7:U15" si="8">IF((S7&gt;0),S7/T7,"- -")</f>
        <v>0.1099399644110359</v>
      </c>
    </row>
    <row r="8" spans="2:21" ht="18" customHeight="1" x14ac:dyDescent="0.25">
      <c r="B8" s="32" t="str">
        <f>'Data Entry'!A8</f>
        <v>3. Refer to Juvenile Court</v>
      </c>
      <c r="C8" s="33">
        <f>'Data Entry'!C8</f>
        <v>48</v>
      </c>
      <c r="D8" s="34">
        <f>IF((AND(C67&gt;0,C8&gt;0)),(C8/C67),0)</f>
        <v>1200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48</v>
      </c>
      <c r="Q8" s="42">
        <f>(C$67*L67)-C8</f>
        <v>-44</v>
      </c>
      <c r="R8" s="42">
        <f t="shared" si="5"/>
        <v>4.0499999999999972</v>
      </c>
      <c r="S8" s="30">
        <f t="shared" si="6"/>
        <v>23.327999999999989</v>
      </c>
      <c r="T8" s="30">
        <f t="shared" si="7"/>
        <v>-421.92000000000007</v>
      </c>
      <c r="U8" s="31">
        <f t="shared" si="8"/>
        <v>-5.5290102389078465E-2</v>
      </c>
    </row>
    <row r="9" spans="2:21" ht="18" customHeight="1" x14ac:dyDescent="0.25">
      <c r="B9" s="32" t="str">
        <f>'Data Entry'!A9</f>
        <v xml:space="preserve">4. Cases Diverted </v>
      </c>
      <c r="C9" s="33">
        <f>'Data Entry'!C9</f>
        <v>1</v>
      </c>
      <c r="D9" s="34">
        <f>IF((AND(C68&gt;0,C9&gt;0)),((C9/C68)),0)</f>
        <v>2.0833333333333335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47</v>
      </c>
      <c r="R9" s="42">
        <f t="shared" si="5"/>
        <v>48</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14.583333333333334</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41</v>
      </c>
      <c r="R10" s="42">
        <f t="shared" si="5"/>
        <v>48</v>
      </c>
      <c r="S10" s="30">
        <f t="shared" si="6"/>
        <v>0</v>
      </c>
      <c r="T10" s="30">
        <f t="shared" si="7"/>
        <v>0</v>
      </c>
      <c r="U10" s="31" t="str">
        <f t="shared" si="8"/>
        <v>- -</v>
      </c>
    </row>
    <row r="11" spans="2:21" ht="18" customHeight="1" x14ac:dyDescent="0.25">
      <c r="B11" s="32" t="str">
        <f>'Data Entry'!A11</f>
        <v>6. Cases Petitioned (Charge Filed)</v>
      </c>
      <c r="C11" s="33">
        <f>'Data Entry'!C11</f>
        <v>30</v>
      </c>
      <c r="D11" s="34">
        <f>IF(((AND(C68&gt;0,C11&gt;0))),(C11/(C68)),0)</f>
        <v>62.5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18</v>
      </c>
      <c r="R11" s="42">
        <f t="shared" si="5"/>
        <v>48</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6</v>
      </c>
      <c r="R12" s="42">
        <f t="shared" si="5"/>
        <v>30</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4.2000000000000003E-2</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v>
      </c>
      <c r="E44" s="56">
        <f>MAX(C44:D44,0)</f>
        <v>0.48</v>
      </c>
      <c r="G44" s="1" t="str">
        <f>B44</f>
        <v>per 100 referrals</v>
      </c>
      <c r="L44" s="57">
        <v>100</v>
      </c>
      <c r="M44" s="57"/>
      <c r="R44" s="49"/>
    </row>
    <row r="45" spans="2:18" ht="15" hidden="1" customHeight="1" x14ac:dyDescent="0.25">
      <c r="B45" s="49" t="s">
        <v>89</v>
      </c>
      <c r="C45" s="49">
        <f>C11/100</f>
        <v>0.3</v>
      </c>
      <c r="D45" s="49">
        <f>E11/100</f>
        <v>0</v>
      </c>
      <c r="E45" s="56">
        <f>MAX(C45:D45,0)</f>
        <v>0.3</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4.2000000000000003E-2</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4.2000000000000003E-2</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4.2000000000000003E-2</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4.2000000000000003E-2</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1528</v>
      </c>
      <c r="R7" s="42">
        <f t="shared" ref="R7:R15" si="5">SUM(N7:Q7)</f>
        <v>1532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48</v>
      </c>
      <c r="D8" s="34">
        <f>IF((AND(C67&gt;0,C8&gt;0)),(C8/C67),0)</f>
        <v>1200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-44</v>
      </c>
      <c r="R8" s="42">
        <f t="shared" si="5"/>
        <v>4.0499999999999972</v>
      </c>
      <c r="S8" s="30">
        <f t="shared" si="6"/>
        <v>23.327999999999989</v>
      </c>
      <c r="T8" s="30">
        <f t="shared" si="7"/>
        <v>-421.92000000000007</v>
      </c>
      <c r="U8" s="31">
        <f t="shared" si="8"/>
        <v>-5.5290102389078465E-2</v>
      </c>
    </row>
    <row r="9" spans="2:21" ht="18" customHeight="1" x14ac:dyDescent="0.25">
      <c r="B9" s="32" t="str">
        <f>'Data Entry'!A9</f>
        <v xml:space="preserve">4. Cases Diverted </v>
      </c>
      <c r="C9" s="33">
        <f>'Data Entry'!C9</f>
        <v>1</v>
      </c>
      <c r="D9" s="34">
        <f>IF((AND(C68&gt;0,C9&gt;0)),((C9/C68)),0)</f>
        <v>2.0833333333333335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47</v>
      </c>
      <c r="R9" s="42">
        <f t="shared" si="5"/>
        <v>48</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14.583333333333334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41</v>
      </c>
      <c r="R10" s="42">
        <f t="shared" si="5"/>
        <v>48</v>
      </c>
      <c r="S10" s="30">
        <f t="shared" si="6"/>
        <v>0</v>
      </c>
      <c r="T10" s="30">
        <f t="shared" si="7"/>
        <v>0</v>
      </c>
      <c r="U10" s="31" t="str">
        <f t="shared" si="8"/>
        <v>- -</v>
      </c>
    </row>
    <row r="11" spans="2:21" ht="18" customHeight="1" x14ac:dyDescent="0.25">
      <c r="B11" s="32" t="str">
        <f>'Data Entry'!A11</f>
        <v>6. Cases Petitioned (Charge Filed)</v>
      </c>
      <c r="C11" s="33">
        <f>'Data Entry'!C11</f>
        <v>30</v>
      </c>
      <c r="D11" s="34">
        <f>IF(((AND(C68&gt;0,C11&gt;0))),(C11/(C68)),0)</f>
        <v>62.5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30</v>
      </c>
      <c r="Q11" s="42">
        <f>(C$68*L68)-C11</f>
        <v>18</v>
      </c>
      <c r="R11" s="42">
        <f t="shared" si="5"/>
        <v>48</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6</v>
      </c>
      <c r="R12" s="42">
        <f t="shared" si="5"/>
        <v>30</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30</v>
      </c>
      <c r="R15" s="42">
        <f t="shared" si="5"/>
        <v>30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0</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v>
      </c>
      <c r="E44" s="56">
        <f>MAX(C44:D44,0)</f>
        <v>0.48</v>
      </c>
      <c r="G44" s="1" t="str">
        <f>B44</f>
        <v>per 100 referrals</v>
      </c>
      <c r="L44" s="57">
        <v>100</v>
      </c>
      <c r="M44" s="57"/>
      <c r="R44" s="49"/>
    </row>
    <row r="45" spans="2:18" ht="15" hidden="1" customHeight="1" x14ac:dyDescent="0.25">
      <c r="B45" s="49" t="s">
        <v>89</v>
      </c>
      <c r="C45" s="49">
        <f>C11/100</f>
        <v>0.3</v>
      </c>
      <c r="D45" s="49">
        <f>E11/100</f>
        <v>0</v>
      </c>
      <c r="E45" s="56">
        <f>MAX(C45:D45,0)</f>
        <v>0.3</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0</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0</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0</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0</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Cheboygan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1532</v>
      </c>
      <c r="D6" s="34"/>
      <c r="E6" s="33">
        <f>'Data Entry'!H6</f>
        <v>80</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2.6109660574412534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80</v>
      </c>
      <c r="P7" s="42">
        <f t="shared" ref="P7:P15" si="4">C7</f>
        <v>4</v>
      </c>
      <c r="Q7" s="42">
        <f>C6-C7</f>
        <v>1528</v>
      </c>
      <c r="R7" s="42">
        <f t="shared" ref="R7:R15" si="5">SUM(N7:Q7)</f>
        <v>1612</v>
      </c>
      <c r="S7" s="30">
        <f t="shared" ref="S7:S15" si="6">R7*((((N7*Q7)-(O7*P7))^2))</f>
        <v>165068800</v>
      </c>
      <c r="T7" s="30">
        <f t="shared" ref="T7:T15" si="7">(N7+O7)*(P7+Q7)*(N7+P7)*(O7+Q7)</f>
        <v>788305920</v>
      </c>
      <c r="U7" s="31">
        <f t="shared" ref="U7:U15" si="8">IF((S7&gt;0),S7/T7,"- -")</f>
        <v>0.20939687983061195</v>
      </c>
    </row>
    <row r="8" spans="2:21" ht="18" customHeight="1" x14ac:dyDescent="0.25">
      <c r="B8" s="32" t="str">
        <f>'Data Entry'!A8</f>
        <v>3. Refer to Juvenile Court</v>
      </c>
      <c r="C8" s="33">
        <f>'Data Entry'!C8</f>
        <v>48</v>
      </c>
      <c r="D8" s="34">
        <f>IF((AND(C67&gt;0,C8&gt;0)),(C8/C67),0)</f>
        <v>1200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48</v>
      </c>
      <c r="Q8" s="42">
        <f>(C$67*L67)-C8</f>
        <v>-44</v>
      </c>
      <c r="R8" s="42">
        <f t="shared" si="5"/>
        <v>4.0499999999999972</v>
      </c>
      <c r="S8" s="30">
        <f t="shared" si="6"/>
        <v>10.367999999999919</v>
      </c>
      <c r="T8" s="30">
        <f t="shared" si="7"/>
        <v>-440.51000000000039</v>
      </c>
      <c r="U8" s="31">
        <f t="shared" si="8"/>
        <v>-2.353635558784116E-2</v>
      </c>
    </row>
    <row r="9" spans="2:21" ht="18" customHeight="1" x14ac:dyDescent="0.25">
      <c r="B9" s="32" t="str">
        <f>'Data Entry'!A9</f>
        <v xml:space="preserve">4. Cases Diverted </v>
      </c>
      <c r="C9" s="33">
        <f>'Data Entry'!C9</f>
        <v>1</v>
      </c>
      <c r="D9" s="34">
        <f>IF((AND(C68&gt;0,C9&gt;0)),((C9/C68)),0)</f>
        <v>2.0833333333333335</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v>
      </c>
      <c r="Q9" s="42">
        <f>(C$68*L68)-C9</f>
        <v>47</v>
      </c>
      <c r="R9" s="42">
        <f t="shared" si="5"/>
        <v>49</v>
      </c>
      <c r="S9" s="30">
        <f t="shared" si="6"/>
        <v>49</v>
      </c>
      <c r="T9" s="30">
        <f t="shared" si="7"/>
        <v>2304</v>
      </c>
      <c r="U9" s="31">
        <f t="shared" si="8"/>
        <v>2.1267361111111112E-2</v>
      </c>
    </row>
    <row r="10" spans="2:21" ht="18" customHeight="1" x14ac:dyDescent="0.25">
      <c r="B10" s="32" t="str">
        <f>'Data Entry'!A10</f>
        <v>5. Cases Involving Secure Detention</v>
      </c>
      <c r="C10" s="33">
        <f>'Data Entry'!C10</f>
        <v>7</v>
      </c>
      <c r="D10" s="34">
        <f>IF(((AND(C68&gt;0,C10&gt;0))),(C10/(C68)),0)</f>
        <v>14.583333333333334</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7</v>
      </c>
      <c r="Q10" s="42">
        <f>(C$68*L68)-C10</f>
        <v>41</v>
      </c>
      <c r="R10" s="42">
        <f t="shared" si="5"/>
        <v>49</v>
      </c>
      <c r="S10" s="30">
        <f t="shared" si="6"/>
        <v>2401</v>
      </c>
      <c r="T10" s="30">
        <f t="shared" si="7"/>
        <v>14112</v>
      </c>
      <c r="U10" s="31">
        <f t="shared" si="8"/>
        <v>0.1701388888888889</v>
      </c>
    </row>
    <row r="11" spans="2:21" ht="18" customHeight="1" x14ac:dyDescent="0.25">
      <c r="B11" s="32" t="str">
        <f>'Data Entry'!A11</f>
        <v>6. Cases Petitioned (Charge Filed)</v>
      </c>
      <c r="C11" s="33">
        <f>'Data Entry'!C11</f>
        <v>30</v>
      </c>
      <c r="D11" s="34">
        <f>IF(((AND(C68&gt;0,C11&gt;0))),(C11/(C68)),0)</f>
        <v>62.5</v>
      </c>
      <c r="E11" s="33">
        <f>'Data Entry'!H11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30</v>
      </c>
      <c r="Q11" s="42">
        <f>(C$68*L68)-C11</f>
        <v>18</v>
      </c>
      <c r="R11" s="42">
        <f t="shared" si="5"/>
        <v>49</v>
      </c>
      <c r="S11" s="30">
        <f t="shared" si="6"/>
        <v>15876</v>
      </c>
      <c r="T11" s="30">
        <f t="shared" si="7"/>
        <v>26784</v>
      </c>
      <c r="U11" s="31">
        <f t="shared" si="8"/>
        <v>0.592741935483871</v>
      </c>
    </row>
    <row r="12" spans="2:21" ht="18" customHeight="1" x14ac:dyDescent="0.25">
      <c r="B12" s="32" t="str">
        <f>'Data Entry'!A12</f>
        <v>7. Cases Resulting in Delinquent Findings</v>
      </c>
      <c r="C12" s="33">
        <f>'Data Entry'!C12</f>
        <v>24</v>
      </c>
      <c r="D12" s="34">
        <f>IF(((AND(C69&gt;0,C12&gt;0))),(C12/(C69)),0)</f>
        <v>80</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24</v>
      </c>
      <c r="Q12" s="42">
        <f>(C69*L69)-C12</f>
        <v>6</v>
      </c>
      <c r="R12" s="42">
        <f t="shared" si="5"/>
        <v>31</v>
      </c>
      <c r="S12" s="30">
        <f t="shared" si="6"/>
        <v>1116</v>
      </c>
      <c r="T12" s="30">
        <f t="shared" si="7"/>
        <v>4500</v>
      </c>
      <c r="U12" s="31">
        <f t="shared" si="8"/>
        <v>0.248</v>
      </c>
    </row>
    <row r="13" spans="2:21" ht="18" customHeight="1" x14ac:dyDescent="0.25">
      <c r="B13" s="32" t="str">
        <f>'Data Entry'!A13</f>
        <v>8. Cases Resulting in Probation Placement</v>
      </c>
      <c r="C13" s="33">
        <f>'Data Entry'!C13</f>
        <v>47</v>
      </c>
      <c r="D13" s="34">
        <f>IF(((AND(C70&gt;0,C13&gt;0))),(C13/(C70)),0)</f>
        <v>195.83333333333334</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47</v>
      </c>
      <c r="Q13" s="42">
        <f>(C70*L70)-C13</f>
        <v>-23</v>
      </c>
      <c r="R13" s="42">
        <f t="shared" si="5"/>
        <v>25</v>
      </c>
      <c r="S13" s="30">
        <f t="shared" si="6"/>
        <v>13225</v>
      </c>
      <c r="T13" s="30">
        <f t="shared" si="7"/>
        <v>-26496</v>
      </c>
      <c r="U13" s="31">
        <f t="shared" si="8"/>
        <v>-0.49913194444444442</v>
      </c>
    </row>
    <row r="14" spans="2:21" ht="30.75" customHeight="1" x14ac:dyDescent="0.25">
      <c r="B14" s="32" t="str">
        <f>'Data Entry'!A14</f>
        <v xml:space="preserve">9. Cases Resulting in Confinement in Secure Juvenile Correctional Facilities </v>
      </c>
      <c r="C14" s="33">
        <f>'Data Entry'!C14</f>
        <v>5</v>
      </c>
      <c r="D14" s="34">
        <f>IF(((AND(C70&gt;0,C14&gt;0))), ((C14/(C70))),0)</f>
        <v>20.833333333333336</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5</v>
      </c>
      <c r="Q14" s="42">
        <f>(C70*L70)-C14</f>
        <v>19</v>
      </c>
      <c r="R14" s="42">
        <f t="shared" si="5"/>
        <v>25</v>
      </c>
      <c r="S14" s="30">
        <f t="shared" si="6"/>
        <v>625</v>
      </c>
      <c r="T14" s="30">
        <f t="shared" si="7"/>
        <v>2400</v>
      </c>
      <c r="U14" s="31">
        <f t="shared" si="8"/>
        <v>0.26041666666666669</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30</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1.532</v>
      </c>
      <c r="D42" s="56">
        <f>E6/1000</f>
        <v>0.08</v>
      </c>
      <c r="E42" s="56">
        <f>MAX(C42:D42)</f>
        <v>1.532</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0.48</v>
      </c>
      <c r="D44" s="56">
        <f>E8/100</f>
        <v>0.01</v>
      </c>
      <c r="E44" s="56">
        <f>MAX(C44:D44,0)</f>
        <v>0.48</v>
      </c>
      <c r="G44" s="1" t="str">
        <f>B44</f>
        <v>per 100 referrals</v>
      </c>
      <c r="L44" s="57">
        <v>100</v>
      </c>
      <c r="M44" s="57"/>
      <c r="R44" s="49"/>
    </row>
    <row r="45" spans="2:18" ht="15" hidden="1" customHeight="1" x14ac:dyDescent="0.25">
      <c r="B45" s="49" t="s">
        <v>89</v>
      </c>
      <c r="C45" s="49">
        <f>C11/100</f>
        <v>0.3</v>
      </c>
      <c r="D45" s="49">
        <f>E11/100</f>
        <v>0.01</v>
      </c>
      <c r="E45" s="56">
        <f>MAX(C45:D45,0)</f>
        <v>0.3</v>
      </c>
      <c r="G45" s="1" t="str">
        <f>B45</f>
        <v>per 100 youth petitioned</v>
      </c>
      <c r="L45" s="57">
        <v>100</v>
      </c>
      <c r="M45" s="57"/>
      <c r="R45" s="49"/>
    </row>
    <row r="46" spans="2:18" ht="15" hidden="1" customHeight="1" x14ac:dyDescent="0.25">
      <c r="B46" s="49" t="s">
        <v>90</v>
      </c>
      <c r="C46" s="49">
        <f>C12/100</f>
        <v>0.24</v>
      </c>
      <c r="D46" s="49">
        <f>E12/100</f>
        <v>0.01</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1.532</v>
      </c>
      <c r="D48" s="56">
        <f>D42</f>
        <v>0.08</v>
      </c>
      <c r="E48" s="56">
        <f>MAX(C48:D48)</f>
        <v>1.532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0.48</v>
      </c>
      <c r="D50" s="49">
        <f t="shared" si="9"/>
        <v>0.01</v>
      </c>
      <c r="E50" s="49">
        <f>MAX(C50:D50)</f>
        <v>0.48</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v>
      </c>
      <c r="D51" s="49">
        <f>IF(($E45&gt;0),D45,D44)</f>
        <v>0.01</v>
      </c>
      <c r="E51" s="49">
        <f>MAX(C51:D51)</f>
        <v>0.3</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1.532</v>
      </c>
      <c r="D54" s="56">
        <f>D48</f>
        <v>0.08</v>
      </c>
      <c r="E54" s="56">
        <f>MAX(C54:D54)</f>
        <v>1.532</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0.48</v>
      </c>
      <c r="D56" s="49">
        <f t="shared" si="10"/>
        <v>0.01</v>
      </c>
      <c r="E56" s="49">
        <f>MAX(C56:D56)</f>
        <v>0.48</v>
      </c>
      <c r="G56" s="1" t="str">
        <f>G50</f>
        <v>per 100 referrals</v>
      </c>
      <c r="L56" s="58">
        <f>IF(($E50&gt;0),L50,L49)</f>
        <v>100</v>
      </c>
      <c r="M56" s="58"/>
    </row>
    <row r="57" spans="2:18" ht="15" hidden="1" customHeight="1" x14ac:dyDescent="0.25">
      <c r="B57" s="49" t="str">
        <f>IF(($E51&gt;0),B51,B49)</f>
        <v>per 100 youth petitioned</v>
      </c>
      <c r="C57" s="49">
        <f>IF(($E51&gt;0),C51,C50)</f>
        <v>0.3</v>
      </c>
      <c r="D57" s="49">
        <f>IF(($E51&gt;0),D51,D50)</f>
        <v>0.01</v>
      </c>
      <c r="E57" s="49">
        <f>MAX(C57:D57)</f>
        <v>0.3</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1.532</v>
      </c>
      <c r="D60" s="56">
        <f>D54</f>
        <v>0.08</v>
      </c>
      <c r="E60" s="56">
        <f>MAX(C60:D60)</f>
        <v>1.532</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0.48</v>
      </c>
      <c r="D62" s="49">
        <f t="shared" si="11"/>
        <v>0.01</v>
      </c>
      <c r="E62" s="49">
        <f>MAX(C62:D62)</f>
        <v>0.48</v>
      </c>
      <c r="G62" s="1" t="str">
        <f>G56</f>
        <v>per 100 referrals</v>
      </c>
      <c r="L62" s="58">
        <f>IF(($E56&gt;0),L56,L55)</f>
        <v>100</v>
      </c>
      <c r="M62" s="58"/>
    </row>
    <row r="63" spans="2:18" ht="15" hidden="1" customHeight="1" x14ac:dyDescent="0.25">
      <c r="B63" s="49" t="str">
        <f>IF(($E57&gt;0),B57,B55)</f>
        <v>per 100 youth petitioned</v>
      </c>
      <c r="C63" s="49">
        <f>IF(($E57&gt;0),C57,C56)</f>
        <v>0.3</v>
      </c>
      <c r="D63" s="49">
        <f>IF(($E57&gt;0),D57,D56)</f>
        <v>0.01</v>
      </c>
      <c r="E63" s="49">
        <f>MAX(C63:D63)</f>
        <v>0.3</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1.532</v>
      </c>
      <c r="D66" s="56">
        <f>D60</f>
        <v>0.08</v>
      </c>
      <c r="E66" s="56">
        <f>MAX(C66:D66)</f>
        <v>1.532</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0.48</v>
      </c>
      <c r="D68" s="49">
        <f t="shared" si="12"/>
        <v>0.01</v>
      </c>
      <c r="E68" s="49">
        <f>MAX(C68:D68)</f>
        <v>0.48</v>
      </c>
      <c r="G68" s="1" t="str">
        <f>G62</f>
        <v>per 100 referrals</v>
      </c>
      <c r="L68" s="58">
        <f>IF(($E62&gt;0),L62,L61)</f>
        <v>100</v>
      </c>
      <c r="M68" s="58">
        <f>IF((B68=G68),1,2)</f>
        <v>1</v>
      </c>
    </row>
    <row r="69" spans="2:13" ht="15" hidden="1" customHeight="1" x14ac:dyDescent="0.25">
      <c r="B69" s="49" t="str">
        <f>IF(($E63&gt;0),B63,B61)</f>
        <v>per 100 youth petitioned</v>
      </c>
      <c r="C69" s="49">
        <f>IF(($E63&gt;0),C63,C62)</f>
        <v>0.3</v>
      </c>
      <c r="D69" s="49">
        <f>IF(($E63&gt;0),D63,D62)</f>
        <v>0.01</v>
      </c>
      <c r="E69" s="49">
        <f>MAX(C69:D69)</f>
        <v>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U47JMPN4QEAR-1806752177-30161</_dlc_DocId>
    <_dlc_DocIdUrl xmlns="ac3811b5-0f3e-49e2-ba69-f2ffa0c782af">
      <Url>https://michiganphi.sharepoint.com/sites/CMDMC/_layouts/15/DocIdRedir.aspx?ID=U47JMPN4QEAR-1806752177-30161</Url>
      <Description>U47JMPN4QEAR-1806752177-30161</Description>
    </_dlc_DocIdUrl>
  </documentManagement>
</p:properties>
</file>

<file path=customXml/itemProps1.xml><?xml version="1.0" encoding="utf-8"?>
<ds:datastoreItem xmlns:ds="http://schemas.openxmlformats.org/officeDocument/2006/customXml" ds:itemID="{DF7EAA26-2FDC-4658-B34F-53DB46102E23}"/>
</file>

<file path=customXml/itemProps2.xml><?xml version="1.0" encoding="utf-8"?>
<ds:datastoreItem xmlns:ds="http://schemas.openxmlformats.org/officeDocument/2006/customXml" ds:itemID="{A0DE3006-AA99-4BD5-8337-10518AB405A2}"/>
</file>

<file path=customXml/itemProps3.xml><?xml version="1.0" encoding="utf-8"?>
<ds:datastoreItem xmlns:ds="http://schemas.openxmlformats.org/officeDocument/2006/customXml" ds:itemID="{575B5D2F-395B-4017-B897-C14C8F674CD2}"/>
</file>

<file path=customXml/itemProps4.xml><?xml version="1.0" encoding="utf-8"?>
<ds:datastoreItem xmlns:ds="http://schemas.openxmlformats.org/officeDocument/2006/customXml" ds:itemID="{1459A983-B443-436D-9CE3-10B62BFD9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6348b197-110a-4e57-b79e-97c2378ca2db</vt:lpwstr>
  </property>
</Properties>
</file>