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3C2616DD-C756-4853-8A1F-35999E537C45}" xr6:coauthVersionLast="47" xr6:coauthVersionMax="47" xr10:uidLastSave="{83BBB970-AA16-4F49-8D7C-3AC883AC85A0}"/>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3"/>
  <c r="M66" i="3"/>
  <c r="M66" i="8"/>
  <c r="F27" i="8"/>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L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L64" i="3"/>
  <c r="D64" i="5"/>
  <c r="L56" i="8"/>
  <c r="L64" i="5"/>
  <c r="B56" i="8"/>
  <c r="C57" i="8"/>
  <c r="C64" i="8" s="1"/>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D64" i="8"/>
  <c r="B64" i="8"/>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C69" i="7"/>
  <c r="D12" i="7" s="1"/>
  <c r="D70" i="6"/>
  <c r="F13" i="6" s="1"/>
  <c r="C63" i="8"/>
  <c r="C70" i="6"/>
  <c r="D13" i="6" s="1"/>
  <c r="C70" i="3"/>
  <c r="D14" i="3" s="1"/>
  <c r="L63" i="8"/>
  <c r="L70" i="8" s="1"/>
  <c r="E63" i="3"/>
  <c r="C69" i="3" s="1"/>
  <c r="D15" i="3" s="1"/>
  <c r="L69" i="7"/>
  <c r="L70" i="3"/>
  <c r="L70" i="6"/>
  <c r="D63" i="8"/>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3" i="3" l="1"/>
  <c r="O13" i="6"/>
  <c r="O14" i="6"/>
  <c r="Q13" i="3"/>
  <c r="D15" i="7"/>
  <c r="Q12" i="7"/>
  <c r="B69" i="6"/>
  <c r="M69" i="6" s="1"/>
  <c r="F14" i="6"/>
  <c r="D12" i="3"/>
  <c r="Q14" i="3"/>
  <c r="B69" i="3"/>
  <c r="M69" i="3" s="1"/>
  <c r="L69" i="3"/>
  <c r="Q12" i="3" s="1"/>
  <c r="D13" i="3"/>
  <c r="Q15" i="7"/>
  <c r="Q13" i="8"/>
  <c r="O13" i="3"/>
  <c r="R13" i="3" s="1"/>
  <c r="S13" i="3" s="1"/>
  <c r="U13" i="3" s="1"/>
  <c r="J13" i="3" s="1"/>
  <c r="D14" i="6"/>
  <c r="F14" i="3"/>
  <c r="E69" i="7"/>
  <c r="E63" i="8"/>
  <c r="D69" i="8" s="1"/>
  <c r="F12" i="8" s="1"/>
  <c r="E70" i="6"/>
  <c r="Q13" i="6"/>
  <c r="T13" i="6" s="1"/>
  <c r="Q14" i="6"/>
  <c r="R14" i="6" s="1"/>
  <c r="S14" i="6" s="1"/>
  <c r="D69" i="3"/>
  <c r="E69" i="3" s="1"/>
  <c r="C69" i="6"/>
  <c r="D12" i="6" s="1"/>
  <c r="F12" i="7"/>
  <c r="O12" i="7"/>
  <c r="O15" i="7"/>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T14" i="6"/>
  <c r="T14" i="3"/>
  <c r="F32" i="6"/>
  <c r="O12" i="3"/>
  <c r="R12" i="3" s="1"/>
  <c r="S12" i="3" s="1"/>
  <c r="U12" i="3" s="1"/>
  <c r="J12" i="3" s="1"/>
  <c r="F35" i="6"/>
  <c r="O12" i="6"/>
  <c r="K12" i="7"/>
  <c r="F35" i="3"/>
  <c r="K15" i="7"/>
  <c r="R14" i="8"/>
  <c r="S14" i="8" s="1"/>
  <c r="K14" i="6"/>
  <c r="F32" i="3"/>
  <c r="Q15" i="3"/>
  <c r="R13" i="8"/>
  <c r="S13" i="8" s="1"/>
  <c r="T12" i="7"/>
  <c r="K13" i="3"/>
  <c r="L13" i="3" s="1"/>
  <c r="P14" i="16" s="1"/>
  <c r="T15" i="7"/>
  <c r="F15" i="8"/>
  <c r="D15" i="6"/>
  <c r="L69" i="8"/>
  <c r="O15" i="8" s="1"/>
  <c r="T13" i="3"/>
  <c r="C69" i="8"/>
  <c r="D15" i="8" s="1"/>
  <c r="R13" i="6"/>
  <c r="S13" i="6" s="1"/>
  <c r="U13" i="6" s="1"/>
  <c r="J13" i="6" s="1"/>
  <c r="M13" i="6" s="1"/>
  <c r="G13" i="6" s="1"/>
  <c r="G13" i="9" s="1"/>
  <c r="K13" i="6"/>
  <c r="R14" i="3"/>
  <c r="S14" i="3" s="1"/>
  <c r="U14" i="3" s="1"/>
  <c r="J14" i="3" s="1"/>
  <c r="M14" i="3" s="1"/>
  <c r="G14" i="3" s="1"/>
  <c r="I15" i="16" s="1"/>
  <c r="Q12" i="6"/>
  <c r="Q15" i="6"/>
  <c r="F15" i="3"/>
  <c r="F12" i="3"/>
  <c r="R12" i="7"/>
  <c r="S12" i="7" s="1"/>
  <c r="U12" i="7" s="1"/>
  <c r="J12" i="7" s="1"/>
  <c r="M12" i="7" s="1"/>
  <c r="T13" i="8"/>
  <c r="R15" i="7"/>
  <c r="S15" i="7" s="1"/>
  <c r="U15" i="7" s="1"/>
  <c r="J15" i="7" s="1"/>
  <c r="E69" i="6"/>
  <c r="K14" i="3"/>
  <c r="O15" i="6"/>
  <c r="F15" i="6"/>
  <c r="L13" i="4"/>
  <c r="O14" i="16" s="1"/>
  <c r="L11" i="4"/>
  <c r="O12" i="16" s="1"/>
  <c r="K8" i="7"/>
  <c r="O13" i="2"/>
  <c r="F35" i="8"/>
  <c r="T8" i="7"/>
  <c r="U8" i="7" s="1"/>
  <c r="J8" i="7" s="1"/>
  <c r="M8" i="7" s="1"/>
  <c r="T13" i="7"/>
  <c r="F32" i="8"/>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I12" i="16"/>
  <c r="E11" i="9"/>
  <c r="I12" i="13"/>
  <c r="T14" i="8"/>
  <c r="D13" i="2"/>
  <c r="E70" i="2"/>
  <c r="Q14" i="2"/>
  <c r="K14" i="2" s="1"/>
  <c r="M13" i="4"/>
  <c r="G13" i="4" s="1"/>
  <c r="G14" i="16" s="1"/>
  <c r="L9" i="4"/>
  <c r="O10" i="16" s="1"/>
  <c r="R13" i="7"/>
  <c r="S13" i="7" s="1"/>
  <c r="Q13" i="2"/>
  <c r="U9" i="3"/>
  <c r="J9" i="3" s="1"/>
  <c r="L9" i="3" s="1"/>
  <c r="N30" i="5"/>
  <c r="L14" i="5"/>
  <c r="Q15" i="16" s="1"/>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5" i="3" l="1"/>
  <c r="K12" i="3"/>
  <c r="U13" i="7"/>
  <c r="J13" i="7" s="1"/>
  <c r="M13" i="7" s="1"/>
  <c r="K15" i="3"/>
  <c r="R15" i="3"/>
  <c r="S15" i="3" s="1"/>
  <c r="U15" i="3" s="1"/>
  <c r="J15" i="3" s="1"/>
  <c r="M15" i="3" s="1"/>
  <c r="G15" i="3" s="1"/>
  <c r="I16" i="16" s="1"/>
  <c r="L15" i="7"/>
  <c r="S16" i="16" s="1"/>
  <c r="R12" i="6"/>
  <c r="S12" i="6" s="1"/>
  <c r="U12" i="6" s="1"/>
  <c r="J12" i="6" s="1"/>
  <c r="M12" i="6" s="1"/>
  <c r="G12" i="6" s="1"/>
  <c r="K15" i="6"/>
  <c r="I15" i="13"/>
  <c r="U14" i="8"/>
  <c r="J14" i="8" s="1"/>
  <c r="N30" i="8" s="1"/>
  <c r="U13" i="8"/>
  <c r="J13" i="8" s="1"/>
  <c r="M13" i="8" s="1"/>
  <c r="G13" i="8" s="1"/>
  <c r="K14" i="16" s="1"/>
  <c r="Q12" i="8"/>
  <c r="O12" i="8"/>
  <c r="D12" i="8"/>
  <c r="E69" i="8"/>
  <c r="R15" i="6"/>
  <c r="S15" i="6" s="1"/>
  <c r="U15" i="6" s="1"/>
  <c r="J15" i="6" s="1"/>
  <c r="M15" i="6" s="1"/>
  <c r="G15" i="6" s="1"/>
  <c r="Q15" i="8"/>
  <c r="R15" i="8" s="1"/>
  <c r="S15" i="8" s="1"/>
  <c r="U15" i="8" s="1"/>
  <c r="J15" i="8" s="1"/>
  <c r="T15" i="6"/>
  <c r="K12" i="6"/>
  <c r="T12" i="6"/>
  <c r="E14" i="9"/>
  <c r="N30" i="3"/>
  <c r="L14" i="3"/>
  <c r="P15" i="16" s="1"/>
  <c r="L13" i="6"/>
  <c r="R14" i="16" s="1"/>
  <c r="L12" i="7"/>
  <c r="S13" i="16" s="1"/>
  <c r="M14" i="13"/>
  <c r="M15" i="7"/>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U10" i="13"/>
  <c r="N11" i="9"/>
  <c r="T15" i="5"/>
  <c r="W14" i="13"/>
  <c r="N13" i="9"/>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L13" i="7" l="1"/>
  <c r="S14" i="16" s="1"/>
  <c r="Q15" i="9"/>
  <c r="I16" i="13"/>
  <c r="E15" i="9"/>
  <c r="L15" i="3"/>
  <c r="P16" i="16" s="1"/>
  <c r="Y16" i="13"/>
  <c r="L12" i="6"/>
  <c r="R13" i="16" s="1"/>
  <c r="L13" i="8"/>
  <c r="T14" i="16" s="1"/>
  <c r="L14" i="8"/>
  <c r="T15" i="16" s="1"/>
  <c r="M14" i="8"/>
  <c r="G14" i="8" s="1"/>
  <c r="K15" i="16" s="1"/>
  <c r="T12" i="8"/>
  <c r="Q14" i="13"/>
  <c r="I13" i="9"/>
  <c r="L15" i="6"/>
  <c r="R16" i="16" s="1"/>
  <c r="K12" i="8"/>
  <c r="R12" i="8"/>
  <c r="S12" i="8" s="1"/>
  <c r="U11" i="7"/>
  <c r="J11" i="7" s="1"/>
  <c r="M11" i="7" s="1"/>
  <c r="N14" i="9"/>
  <c r="Q12" i="9"/>
  <c r="K15" i="8"/>
  <c r="L15" i="8" s="1"/>
  <c r="T16" i="16" s="1"/>
  <c r="T15" i="8"/>
  <c r="U10" i="7"/>
  <c r="J10" i="7" s="1"/>
  <c r="M10" i="7" s="1"/>
  <c r="V15" i="13"/>
  <c r="U14" i="2"/>
  <c r="J14" i="2" s="1"/>
  <c r="M14" i="2" s="1"/>
  <c r="G14" i="2" s="1"/>
  <c r="E15" i="16" s="1"/>
  <c r="U13" i="2"/>
  <c r="J13" i="2" s="1"/>
  <c r="M13" i="2" s="1"/>
  <c r="G13" i="2" s="1"/>
  <c r="E14" i="16" s="1"/>
  <c r="X14" i="13"/>
  <c r="P13" i="9"/>
  <c r="Y13" i="13"/>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3" i="9" l="1"/>
  <c r="Y14" i="13"/>
  <c r="P15" i="9"/>
  <c r="P12" i="9"/>
  <c r="X13" i="13"/>
  <c r="V16" i="13"/>
  <c r="L11" i="7"/>
  <c r="S12" i="16" s="1"/>
  <c r="N15" i="9"/>
  <c r="X16" i="13"/>
  <c r="Z14" i="13"/>
  <c r="R13" i="9"/>
  <c r="U12" i="8"/>
  <c r="J12" i="8" s="1"/>
  <c r="M12" i="8" s="1"/>
  <c r="G12" i="8" s="1"/>
  <c r="K13" i="16" s="1"/>
  <c r="I14" i="9"/>
  <c r="Z15" i="13"/>
  <c r="R14" i="9"/>
  <c r="Q15" i="13"/>
  <c r="L10" i="7"/>
  <c r="S11" i="16" s="1"/>
  <c r="L13" i="2"/>
  <c r="N14" i="16" s="1"/>
  <c r="C14" i="9"/>
  <c r="N30" i="2"/>
  <c r="L14" i="2"/>
  <c r="N15" i="16" s="1"/>
  <c r="E15" i="13"/>
  <c r="C13" i="9"/>
  <c r="E14"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1" i="9" l="1"/>
  <c r="I12" i="9"/>
  <c r="Y12" i="13"/>
  <c r="Q13" i="13"/>
  <c r="L12" i="8"/>
  <c r="T13" i="16" s="1"/>
  <c r="Q10" i="9"/>
  <c r="T14" i="13"/>
  <c r="L13" i="9"/>
  <c r="Y11" i="13"/>
  <c r="T15" i="13"/>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<sst xmlns="http://schemas.openxmlformats.org/spreadsheetml/2006/main" count="654" uniqueCount="141">
  <si>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</si>
  <si>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</si>
  <si>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</si>
  <si>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</si>
  <si>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</si>
  <si>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</si>
  <si>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</si>
  <si>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</si>
  <si>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</si>
  <si>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</si>
  <si>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</si>
  <si>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</si>
  <si>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</si>
  <si>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</si>
  <si>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</si>
  <si>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</si>
  <si>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</si>
  <si>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</si>
  <si>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</si>
  <si>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</si>
  <si>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</si>
  <si>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</si>
  <si>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</si>
  <si>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</si>
  <si>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</si>
  <si>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</si>
  <si>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</si>
  <si>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</si>
  <si>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</si>
  <si>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</si>
  <si>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</si>
  <si>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</si>
  <si>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</si>
  <si>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</si>
  <si>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</si>
  <si>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</si>
  <si>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</si>
  <si>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</si>
  <si>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</si>
  <si>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</si>
  <si>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</si>
  <si>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</si>
  <si>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</si>
  <si>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</si>
  <si>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</si>
  <si>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</si>
  <si>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</si>
  <si>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</si>
  <si>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</si>
  <si>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</si>
  <si>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</si>
  <si>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</si>
  <si>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</si>
  <si>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</si>
  <si>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</si>
  <si>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</si>
  <si>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</si>
  <si>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</si>
  <si>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</si>
  <si>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</si>
  <si>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</si>
  <si>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</si>
  <si>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</si>
  <si>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</si>
  <si>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</si>
  <si>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</si>
  <si>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</si>
  <si>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</si>
  <si>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</si>
  <si>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</si>
  <si>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</si>
  <si>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</si>
  <si>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</si>
  <si>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</si>
  <si>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</si>
  <si>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</si>
  <si>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</si>
  <si>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</si>
  <si>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</si>
  <si>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</si>
  <si>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</si>
  <si>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</si>
  <si>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</si>
  <si>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</si>
  <si>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</si>
  <si>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</si>
  <si>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</si>
  <si>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</si>
  <si>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</si>
  <si>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</si>
  <si>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</si>
  <si>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</si>
  <si>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</si>
  <si>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</si>
  <si>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</si>
  <si>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</si>
  <si>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</si>
  <si>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</si>
  <si>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</si>
  <si>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</si>
  <si>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</si>
  <si>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</si>
  <si>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</si>
  <si>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</si>
  <si>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</si>
  <si>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</si>
  <si>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</si>
  <si>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</si>
  <si>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</si>
  <si>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</si>
  <si>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</si>
  <si>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</si>
  <si>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</si>
  <si>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</si>
  <si>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</si>
  <si>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</si>
  <si>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</si>
  <si>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</si>
  <si>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</si>
  <si>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</si>
  <si>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</si>
  <si>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</si>
  <si>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</si>
  <si>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</si>
  <si>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</si>
  <si>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</si>
  <si>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</si>
  <si>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</si>
  <si>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</si>
  <si>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</si>
  <si>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</si>
  <si>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</si>
  <si>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</si>
  <si>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</si>
  <si>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</si>
  <si>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</si>
  <si>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Charlevoix</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</si>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</sst>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Charlevoix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N=22</c:v>
                </c:pt>
                <c:pt idx="3">
                  <c:v>Petitions, total N=31</c:v>
                </c:pt>
                <c:pt idx="4">
                  <c:v>Detentions, total N=4</c:v>
                </c:pt>
                <c:pt idx="5">
                  <c:v>Referrals, total N=52</c:v>
                </c:pt>
                <c:pt idx="6">
                  <c:v>Arrests, total N=2</c:v>
                </c:pt>
                <c:pt idx="7">
                  <c:v>Population, total N=2256</c:v>
                </c:pt>
              </c:strCache>
            </c:strRef>
          </c:cat>
          <c:val>
            <c:numRef>
              <c:f>'Stacked 100%'!$B$7:$B$14</c:f>
              <c:numCache>
                <c:formatCode>0%</c:formatCode>
                <c:ptCount val="8"/>
                <c:pt idx="0">
                  <c:v>0</c:v>
                </c:pt>
                <c:pt idx="1">
                  <c:v>0</c:v>
                </c:pt>
                <c:pt idx="2">
                  <c:v>0.13636363636363635</c:v>
                </c:pt>
                <c:pt idx="3">
                  <c:v>0.12903225806451613</c:v>
                </c:pt>
                <c:pt idx="4">
                  <c:v>0.5</c:v>
                </c:pt>
                <c:pt idx="5">
                  <c:v>7.6923076923076927E-2</c:v>
                </c:pt>
                <c:pt idx="6">
                  <c:v>0</c:v>
                </c:pt>
                <c:pt idx="7">
                  <c:v>1.4184397163120567E-2</c:v>
                </c:pt>
              </c:numCache>
            </c:numRef>
          </c:val>
          <c:extLst>
            <c:ext xmlns:c16="http://schemas.microsoft.com/office/drawing/2014/chart" uri="{C3380CC4-5D6E-409C-BE32-E72D297353CC}">
              <c16:uniqueId val="{00000000-A879-4045-A8BD-BD67AE6B535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N=22</c:v>
                </c:pt>
                <c:pt idx="3">
                  <c:v>Petitions, total N=31</c:v>
                </c:pt>
                <c:pt idx="4">
                  <c:v>Detentions, total N=4</c:v>
                </c:pt>
                <c:pt idx="5">
                  <c:v>Referrals, total N=52</c:v>
                </c:pt>
                <c:pt idx="6">
                  <c:v>Arrests, total N=2</c:v>
                </c:pt>
                <c:pt idx="7">
                  <c:v>Population, total N=2256</c:v>
                </c:pt>
              </c:strCache>
            </c:strRef>
          </c:cat>
          <c:val>
            <c:numRef>
              <c:f>'Stacked 100%'!$C$7:$C$14</c:f>
              <c:numCache>
                <c:formatCode>0%</c:formatCode>
                <c:ptCount val="8"/>
                <c:pt idx="0">
                  <c:v>0</c:v>
                </c:pt>
                <c:pt idx="1">
                  <c:v>0</c:v>
                </c:pt>
                <c:pt idx="2">
                  <c:v>0</c:v>
                </c:pt>
                <c:pt idx="3">
                  <c:v>0</c:v>
                </c:pt>
                <c:pt idx="4">
                  <c:v>0</c:v>
                </c:pt>
                <c:pt idx="5">
                  <c:v>0</c:v>
                </c:pt>
                <c:pt idx="6">
                  <c:v>0</c:v>
                </c:pt>
                <c:pt idx="7">
                  <c:v>4.1666666666666664E-2</c:v>
                </c:pt>
              </c:numCache>
            </c:numRef>
          </c:val>
          <c:extLst>
            <c:ext xmlns:c16="http://schemas.microsoft.com/office/drawing/2014/chart" uri="{C3380CC4-5D6E-409C-BE32-E72D297353CC}">
              <c16:uniqueId val="{00000001-A879-4045-A8BD-BD67AE6B535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N=7</c:v>
                </c:pt>
                <c:pt idx="2">
                  <c:v>Delinquent Findings, total N=22</c:v>
                </c:pt>
                <c:pt idx="3">
                  <c:v>Petitions, total N=31</c:v>
                </c:pt>
                <c:pt idx="4">
                  <c:v>Detentions, total N=4</c:v>
                </c:pt>
                <c:pt idx="5">
                  <c:v>Referrals, total N=52</c:v>
                </c:pt>
                <c:pt idx="6">
                  <c:v>Arrests, total N=2</c:v>
                </c:pt>
                <c:pt idx="7">
                  <c:v>Population, total N=2256</c:v>
                </c:pt>
              </c:strCache>
            </c:strRef>
          </c:cat>
          <c:val>
            <c:numRef>
              <c:f>'Stacked 100%'!$H$7:$H$14</c:f>
              <c:numCache>
                <c:formatCode>0%</c:formatCode>
                <c:ptCount val="8"/>
                <c:pt idx="0">
                  <c:v>0</c:v>
                </c:pt>
                <c:pt idx="1">
                  <c:v>0</c:v>
                </c:pt>
                <c:pt idx="2">
                  <c:v>0</c:v>
                </c:pt>
                <c:pt idx="3">
                  <c:v>0</c:v>
                </c:pt>
                <c:pt idx="4">
                  <c:v>0</c:v>
                </c:pt>
                <c:pt idx="5">
                  <c:v>0</c:v>
                </c:pt>
                <c:pt idx="6">
                  <c:v>0</c:v>
                </c:pt>
                <c:pt idx="7">
                  <c:v>1.3950191137266735E-5</c:v>
                </c:pt>
              </c:numCache>
            </c:numRef>
          </c:val>
          <c:extLst>
            <c:ext xmlns:c16="http://schemas.microsoft.com/office/drawing/2014/chart" uri="{C3380CC4-5D6E-409C-BE32-E72D297353CC}">
              <c16:uniqueId val="{00000002-A879-4045-A8BD-BD67AE6B535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N=22</c:v>
                </c:pt>
                <c:pt idx="3">
                  <c:v>Petitions, total N=31</c:v>
                </c:pt>
                <c:pt idx="4">
                  <c:v>Detentions, total N=4</c:v>
                </c:pt>
                <c:pt idx="5">
                  <c:v>Referrals, total N=52</c:v>
                </c:pt>
                <c:pt idx="6">
                  <c:v>Arrests, total N=2</c:v>
                </c:pt>
                <c:pt idx="7">
                  <c:v>Population, total N=2256</c:v>
                </c:pt>
              </c:strCache>
            </c:strRef>
          </c:cat>
          <c:val>
            <c:numRef>
              <c:f>'Stacked 100%'!$I$7:$I$14</c:f>
              <c:numCache>
                <c:formatCode>0%</c:formatCode>
                <c:ptCount val="8"/>
                <c:pt idx="0">
                  <c:v>0</c:v>
                </c:pt>
                <c:pt idx="1">
                  <c:v>1</c:v>
                </c:pt>
                <c:pt idx="2">
                  <c:v>0.86363636363636365</c:v>
                </c:pt>
                <c:pt idx="3">
                  <c:v>0.87096774193548387</c:v>
                </c:pt>
                <c:pt idx="4">
                  <c:v>0.5</c:v>
                </c:pt>
                <c:pt idx="5">
                  <c:v>0.92307692307692313</c:v>
                </c:pt>
                <c:pt idx="6">
                  <c:v>1</c:v>
                </c:pt>
                <c:pt idx="7">
                  <c:v>0.91267730496453903</c:v>
                </c:pt>
              </c:numCache>
            </c:numRef>
          </c:val>
          <c:extLst>
            <c:ext xmlns:c16="http://schemas.microsoft.com/office/drawing/2014/chart" uri="{C3380CC4-5D6E-409C-BE32-E72D297353CC}">
              <c16:uniqueId val="{00000003-A879-4045-A8BD-BD67AE6B535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N=7</c:v>
                </c:pt>
                <c:pt idx="2">
                  <c:v>Delinquent Findings, total N=22</c:v>
                </c:pt>
                <c:pt idx="3">
                  <c:v>Petitions, total N=31</c:v>
                </c:pt>
                <c:pt idx="4">
                  <c:v>Detentions, total N=4</c:v>
                </c:pt>
                <c:pt idx="5">
                  <c:v>Referrals, total N=52</c:v>
                </c:pt>
                <c:pt idx="6">
                  <c:v>Arrests, total N=2</c:v>
                </c:pt>
                <c:pt idx="7">
                  <c:v>Population, total N=2256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879-4045-A8BD-BD67AE6B535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2256</v>
      </c>
      <c r="C6" s="11">
        <v>2059</v>
      </c>
      <c r="D6" s="11">
        <v>32</v>
      </c>
      <c r="E6" s="11">
        <v>94</v>
      </c>
      <c r="F6" s="11">
        <v>27</v>
      </c>
      <c r="G6" s="11"/>
      <c r="H6" s="11">
        <v>44</v>
      </c>
      <c r="I6" s="11"/>
      <c r="J6" s="91">
        <f>SUM(D6:I6)</f>
        <v>197</v>
      </c>
      <c r="K6" s="92"/>
    </row>
    <row r="7" spans="1:11" ht="15.75" customHeight="1" thickBot="1">
      <c r="A7" s="10" t="s">
        <v>8</v>
      </c>
      <c r="B7" s="11">
        <f t="shared" ref="B7:B15" si="0">SUM(C7:I7)+K7</f>
        <v>2</v>
      </c>
      <c r="C7" s="11">
        <v>2</v>
      </c>
      <c r="D7" s="11">
        <v>0</v>
      </c>
      <c r="E7" s="11">
        <v>0</v>
      </c>
      <c r="F7" s="11">
        <v>0</v>
      </c>
      <c r="G7" s="11">
        <v>0</v>
      </c>
      <c r="H7" s="11">
        <v>0</v>
      </c>
      <c r="I7" s="11"/>
      <c r="J7" s="91">
        <f t="shared" ref="J7:J15" si="1">SUM(D7:I7)</f>
        <v>0</v>
      </c>
      <c r="K7" s="92">
        <v>0</v>
      </c>
    </row>
    <row r="8" spans="1:11" ht="15.75" customHeight="1" thickBot="1">
      <c r="A8" s="10" t="s">
        <v>9</v>
      </c>
      <c r="B8" s="11">
        <f t="shared" si="0"/>
        <v>52</v>
      </c>
      <c r="C8" s="11">
        <v>48</v>
      </c>
      <c r="D8" s="11">
        <v>4</v>
      </c>
      <c r="E8" s="11"/>
      <c r="F8" s="11"/>
      <c r="G8" s="11"/>
      <c r="H8" s="11"/>
      <c r="I8" s="11"/>
      <c r="J8" s="91">
        <f t="shared" si="1"/>
        <v>4</v>
      </c>
      <c r="K8" s="92"/>
    </row>
    <row r="9" spans="1:11" ht="15.75" customHeight="1" thickBot="1">
      <c r="A9" s="10" t="s">
        <v>10</v>
      </c>
      <c r="B9" s="11">
        <f t="shared" si="0"/>
        <v>2</v>
      </c>
      <c r="C9" s="11">
        <v>2</v>
      </c>
      <c r="D9" s="11"/>
      <c r="E9" s="11"/>
      <c r="F9" s="11"/>
      <c r="G9" s="11"/>
      <c r="H9" s="11"/>
      <c r="I9" s="11"/>
      <c r="J9" s="91">
        <f t="shared" si="1"/>
        <v>0</v>
      </c>
      <c r="K9" s="92"/>
    </row>
    <row r="10" spans="1:11" ht="15.75" customHeight="1" thickBot="1">
      <c r="A10" s="10" t="s">
        <v>11</v>
      </c>
      <c r="B10" s="11">
        <f t="shared" si="0"/>
        <v>4</v>
      </c>
      <c r="C10" s="11">
        <v>2</v>
      </c>
      <c r="D10" s="11">
        <v>2</v>
      </c>
      <c r="E10" s="11"/>
      <c r="F10" s="11"/>
      <c r="G10" s="11"/>
      <c r="H10" s="11"/>
      <c r="I10" s="11"/>
      <c r="J10" s="91">
        <f t="shared" si="1"/>
        <v>2</v>
      </c>
      <c r="K10" s="92"/>
    </row>
    <row r="11" spans="1:11" ht="15.75" customHeight="1" thickBot="1">
      <c r="A11" s="10" t="s">
        <v>12</v>
      </c>
      <c r="B11" s="11">
        <f t="shared" si="0"/>
        <v>31</v>
      </c>
      <c r="C11" s="11">
        <v>27</v>
      </c>
      <c r="D11" s="11">
        <v>4</v>
      </c>
      <c r="E11" s="11"/>
      <c r="F11" s="11"/>
      <c r="G11" s="11"/>
      <c r="H11" s="11"/>
      <c r="I11" s="11"/>
      <c r="J11" s="91">
        <f t="shared" si="1"/>
        <v>4</v>
      </c>
      <c r="K11" s="92"/>
    </row>
    <row r="12" spans="1:11" ht="15.75" customHeight="1" thickBot="1">
      <c r="A12" s="10" t="s">
        <v>13</v>
      </c>
      <c r="B12" s="11">
        <f t="shared" si="0"/>
        <v>22</v>
      </c>
      <c r="C12" s="11">
        <v>19</v>
      </c>
      <c r="D12" s="11">
        <v>3</v>
      </c>
      <c r="E12" s="11"/>
      <c r="F12" s="11"/>
      <c r="G12" s="11"/>
      <c r="H12" s="11"/>
      <c r="I12" s="11"/>
      <c r="J12" s="91">
        <f t="shared" si="1"/>
        <v>3</v>
      </c>
      <c r="K12" s="92"/>
    </row>
    <row r="13" spans="1:11" ht="15.75" customHeight="1" thickBot="1">
      <c r="A13" s="10" t="s">
        <v>133</v>
      </c>
      <c r="B13" s="11">
        <f t="shared" si="0"/>
        <v>32</v>
      </c>
      <c r="C13" s="11">
        <v>31</v>
      </c>
      <c r="D13" s="11">
        <v>1</v>
      </c>
      <c r="E13" s="11"/>
      <c r="F13" s="11"/>
      <c r="G13" s="11"/>
      <c r="H13" s="11"/>
      <c r="I13" s="11"/>
      <c r="J13" s="91">
        <f t="shared" si="1"/>
        <v>1</v>
      </c>
      <c r="K13" s="92"/>
    </row>
    <row r="14" spans="1:11" ht="26.25" customHeight="1" thickBot="1">
      <c r="A14" s="10" t="s">
        <v>123</v>
      </c>
      <c r="B14" s="11">
        <f t="shared" si="0"/>
        <v>7</v>
      </c>
      <c r="C14" s="11">
        <v>7</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0.97134531325886342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2057</v>
      </c>
      <c r="R7" s="42">
        <f t="shared" ref="R7:R15" si="5">SUM(N7:Q7)</f>
        <v>2059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48</v>
      </c>
      <c r="D8" s="34">
        <f>IF((AND(C67&gt;0,C8&gt;0)),(C8/C67),0)</f>
        <v>2400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48</v>
      </c>
      <c r="Q8" s="42">
        <f>(C$67*L67)-C8</f>
        <v>-46</v>
      </c>
      <c r="R8" s="42">
        <f t="shared" si="5"/>
        <v>2.0499999999999972</v>
      </c>
      <c r="S8" s="30">
        <f t="shared" si="6"/>
        <v>11.807999999999987</v>
      </c>
      <c r="T8" s="30">
        <f t="shared" si="7"/>
        <v>-220.56000000000006</v>
      </c>
      <c r="U8" s="31">
        <f t="shared" si="8"/>
        <v>-5.3536452665941169E-2</v>
      </c>
    </row>
    <row r="9" spans="2:21" ht="18" customHeight="1">
      <c r="B9" s="32" t="str">
        <f>'Data Entry'!A9</f>
        <v xml:space="preserve">4. Cases Diverted </v>
      </c>
      <c r="C9" s="33">
        <f>'Data Entry'!C9</f>
        <v>2</v>
      </c>
      <c r="D9" s="34">
        <f>IF((AND(C68&gt;0,C9&gt;0)),((C9/C68)),0)</f>
        <v>4.166666666666667</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46</v>
      </c>
      <c r="R9" s="42">
        <f t="shared" si="5"/>
        <v>48</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4.166666666666667</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46</v>
      </c>
      <c r="R10" s="42">
        <f t="shared" si="5"/>
        <v>48</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56.25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21</v>
      </c>
      <c r="R11" s="42">
        <f t="shared" si="5"/>
        <v>48</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70.370370370370367</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8</v>
      </c>
      <c r="R12" s="42">
        <f t="shared" si="5"/>
        <v>27</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163.15789473684211</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36.842105263157897</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12</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2.0590000000000002</v>
      </c>
      <c r="D42" s="56">
        <f>E6/1000</f>
        <v>0</v>
      </c>
      <c r="E42" s="56">
        <f>MAX(C42:D42)</f>
        <v>2.0590000000000002</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0.27</v>
      </c>
      <c r="D45" s="49">
        <f>E11/100</f>
        <v>0</v>
      </c>
      <c r="E45" s="56">
        <f>MAX(C45:D45,0)</f>
        <v>0.27</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2.0590000000000002</v>
      </c>
      <c r="D48" s="56">
        <f>D42</f>
        <v>0</v>
      </c>
      <c r="E48" s="56">
        <f>MAX(C48:D48)</f>
        <v>2.0590000000000002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2.0590000000000002</v>
      </c>
      <c r="D54" s="56">
        <f>D48</f>
        <v>0</v>
      </c>
      <c r="E54" s="56">
        <f>MAX(C54:D54)</f>
        <v>2.0590000000000002</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2.0590000000000002</v>
      </c>
      <c r="D60" s="56">
        <f>D54</f>
        <v>0</v>
      </c>
      <c r="E60" s="56">
        <f>MAX(C60:D60)</f>
        <v>2.0590000000000002</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2.0590000000000002</v>
      </c>
      <c r="D66" s="56">
        <f>D60</f>
        <v>0</v>
      </c>
      <c r="E66" s="56">
        <f>MAX(C66:D66)</f>
        <v>2.0590000000000002</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2059</v>
      </c>
      <c r="D6" s="34"/>
      <c r="E6" s="33">
        <f>'Data Entry'!J6</f>
        <v>197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0.97134531325886342</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197</v>
      </c>
      <c r="P7" s="42">
        <f t="shared" ref="P7:P15" si="4">C7</f>
        <v>2</v>
      </c>
      <c r="Q7" s="42">
        <f>C6-C7</f>
        <v>2057</v>
      </c>
      <c r="R7" s="42">
        <f t="shared" ref="R7:R15" si="5">SUM(N7:Q7)</f>
        <v>2256</v>
      </c>
      <c r="S7" s="30">
        <f t="shared" ref="S7:S15" si="6">R7*((((N7*Q7)-(O7*P7))^2))</f>
        <v>350212416</v>
      </c>
      <c r="T7" s="30">
        <f t="shared" ref="T7:T15" si="7">(N7+O7)*(P7+Q7)*(N7+P7)*(O7+Q7)</f>
        <v>1828548484</v>
      </c>
      <c r="U7" s="31">
        <f t="shared" ref="U7:U15" si="8">IF((S7&gt;0),S7/T7,"- -")</f>
        <v>0.19152481821750808</v>
      </c>
    </row>
    <row r="8" spans="2:21" ht="18" customHeight="1">
      <c r="B8" s="32" t="str">
        <f>'Data Entry'!A8</f>
        <v>3. Refer to Juvenile Court</v>
      </c>
      <c r="C8" s="33">
        <f>'Data Entry'!C8</f>
        <v>48</v>
      </c>
      <c r="D8" s="34">
        <f>IF((AND(C67&gt;0,C8&gt;0)),(C8/C67),0)</f>
        <v>2400</v>
      </c>
      <c r="E8" s="33">
        <f>'Data Entry'!J8</f>
        <v>4</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-3.95</v>
      </c>
      <c r="P8" s="42">
        <f t="shared" si="4"/>
        <v>48</v>
      </c>
      <c r="Q8" s="42">
        <f>(C$67*L67)-C8</f>
        <v>-46</v>
      </c>
      <c r="R8" s="42">
        <f t="shared" si="5"/>
        <v>2.0499999999999972</v>
      </c>
      <c r="S8" s="30">
        <f t="shared" si="6"/>
        <v>64.288000000000437</v>
      </c>
      <c r="T8" s="30">
        <f t="shared" si="7"/>
        <v>-259.7399999999991</v>
      </c>
      <c r="U8" s="31">
        <f t="shared" si="8"/>
        <v>-0.24750904750905006</v>
      </c>
    </row>
    <row r="9" spans="2:21" ht="18" customHeight="1">
      <c r="B9" s="32" t="str">
        <f>'Data Entry'!A9</f>
        <v xml:space="preserve">4. Cases Diverted </v>
      </c>
      <c r="C9" s="33">
        <f>'Data Entry'!C9</f>
        <v>2</v>
      </c>
      <c r="D9" s="34">
        <f>IF((AND(C68&gt;0,C9&gt;0)),((C9/C68)),0)</f>
        <v>4.166666666666667</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4</v>
      </c>
      <c r="P9" s="42">
        <f t="shared" si="4"/>
        <v>2</v>
      </c>
      <c r="Q9" s="42">
        <f>(C$68*L68)-C9</f>
        <v>46</v>
      </c>
      <c r="R9" s="42">
        <f t="shared" si="5"/>
        <v>52</v>
      </c>
      <c r="S9" s="30">
        <f t="shared" si="6"/>
        <v>3328</v>
      </c>
      <c r="T9" s="30">
        <f t="shared" si="7"/>
        <v>19200</v>
      </c>
      <c r="U9" s="31">
        <f t="shared" si="8"/>
        <v>0.17333333333333334</v>
      </c>
    </row>
    <row r="10" spans="2:21" ht="18" customHeight="1">
      <c r="B10" s="32" t="str">
        <f>'Data Entry'!A10</f>
        <v>5. Cases Involving Secure Detention</v>
      </c>
      <c r="C10" s="33">
        <f>'Data Entry'!C10</f>
        <v>2</v>
      </c>
      <c r="D10" s="34">
        <f>IF(((AND(C68&gt;0,C10&gt;0))),(C10/(C68)),0)</f>
        <v>4.166666666666667</v>
      </c>
      <c r="E10" s="33">
        <f>'Data Entry'!J10</f>
        <v>2</v>
      </c>
      <c r="F10" s="34">
        <f>IF(((AND($E$10&gt;0,$D$68&gt;0))),($E$10/($D$68)),0)</f>
        <v>50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v>
      </c>
      <c r="O10" s="42">
        <f>(D$68*L68)-E10</f>
        <v>2</v>
      </c>
      <c r="P10" s="42">
        <f t="shared" si="4"/>
        <v>2</v>
      </c>
      <c r="Q10" s="42">
        <f>(C$68*L68)-C10</f>
        <v>46</v>
      </c>
      <c r="R10" s="42">
        <f t="shared" si="5"/>
        <v>52</v>
      </c>
      <c r="S10" s="30">
        <f t="shared" si="6"/>
        <v>402688</v>
      </c>
      <c r="T10" s="30">
        <f t="shared" si="7"/>
        <v>36864</v>
      </c>
      <c r="U10" s="31">
        <f t="shared" si="8"/>
        <v>10.923611111111111</v>
      </c>
    </row>
    <row r="11" spans="2:21" ht="18" customHeight="1">
      <c r="B11" s="32" t="str">
        <f>'Data Entry'!A11</f>
        <v>6. Cases Petitioned (Charge Filed)</v>
      </c>
      <c r="C11" s="33">
        <f>'Data Entry'!C11</f>
        <v>27</v>
      </c>
      <c r="D11" s="34">
        <f>IF(((AND(C68&gt;0,C11&gt;0))),(C11/(C68)),0)</f>
        <v>56.25</v>
      </c>
      <c r="E11" s="33">
        <f>'Data Entry'!J11</f>
        <v>4</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0</v>
      </c>
      <c r="P11" s="42">
        <f t="shared" si="4"/>
        <v>27</v>
      </c>
      <c r="Q11" s="42">
        <f>(C$68*L68)-C11</f>
        <v>21</v>
      </c>
      <c r="R11" s="42">
        <f t="shared" si="5"/>
        <v>52</v>
      </c>
      <c r="S11" s="30">
        <f t="shared" si="6"/>
        <v>366912</v>
      </c>
      <c r="T11" s="30">
        <f t="shared" si="7"/>
        <v>124992</v>
      </c>
      <c r="U11" s="31">
        <f t="shared" si="8"/>
        <v>2.935483870967742</v>
      </c>
    </row>
    <row r="12" spans="2:21" ht="18" customHeight="1">
      <c r="B12" s="32" t="str">
        <f>'Data Entry'!A12</f>
        <v>7. Cases Resulting in Delinquent Findings</v>
      </c>
      <c r="C12" s="33">
        <f>'Data Entry'!C12</f>
        <v>19</v>
      </c>
      <c r="D12" s="34">
        <f>IF(((AND(C69&gt;0,C12&gt;0))),(C12/(C69)),0)</f>
        <v>70.370370370370367</v>
      </c>
      <c r="E12" s="33">
        <f>'Data Entry'!J12</f>
        <v>3</v>
      </c>
      <c r="F12" s="34">
        <f>IF(((AND($D$69&gt;0,$E$12&gt;0))),(E12/(D69)),0)</f>
        <v>75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1</v>
      </c>
      <c r="P12" s="42">
        <f t="shared" si="4"/>
        <v>19</v>
      </c>
      <c r="Q12" s="42">
        <f>(C69*L69)-C12</f>
        <v>8</v>
      </c>
      <c r="R12" s="42">
        <f t="shared" si="5"/>
        <v>31</v>
      </c>
      <c r="S12" s="30">
        <f t="shared" si="6"/>
        <v>775</v>
      </c>
      <c r="T12" s="30">
        <f t="shared" si="7"/>
        <v>21384</v>
      </c>
      <c r="U12" s="31">
        <f t="shared" si="8"/>
        <v>3.6242050130939021E-2</v>
      </c>
    </row>
    <row r="13" spans="2:21" ht="18" customHeight="1">
      <c r="B13" s="32" t="str">
        <f>'Data Entry'!A13</f>
        <v>8. Cases Resulting in Probation Placement</v>
      </c>
      <c r="C13" s="33">
        <f>'Data Entry'!C13</f>
        <v>31</v>
      </c>
      <c r="D13" s="34">
        <f>IF(((AND(C70&gt;0,C13&gt;0))),(C13/(C70)),0)</f>
        <v>163.15789473684211</v>
      </c>
      <c r="E13" s="33">
        <f>'Data Entry'!J13</f>
        <v>1</v>
      </c>
      <c r="F13" s="34">
        <f>IF(((AND($D$70&gt;0,$E$13&gt;0))),($E$13/($D$70)),0)</f>
        <v>33.333333333333336</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1</v>
      </c>
      <c r="O13" s="42">
        <f>(D70*L70)-E13</f>
        <v>2</v>
      </c>
      <c r="P13" s="42">
        <f t="shared" si="4"/>
        <v>31</v>
      </c>
      <c r="Q13" s="42">
        <f>(C70*L70)-C13</f>
        <v>-12</v>
      </c>
      <c r="R13" s="42">
        <f t="shared" si="5"/>
        <v>22</v>
      </c>
      <c r="S13" s="30">
        <f t="shared" si="6"/>
        <v>120472</v>
      </c>
      <c r="T13" s="30">
        <f t="shared" si="7"/>
        <v>-18240</v>
      </c>
      <c r="U13" s="31">
        <f t="shared" si="8"/>
        <v>-6.6048245614035084</v>
      </c>
    </row>
    <row r="14" spans="2:21" ht="30.75" customHeight="1">
      <c r="B14" s="32" t="str">
        <f>'Data Entry'!A14</f>
        <v xml:space="preserve">9. Cases Resulting in Confinement in Secure Juvenile Correctional Facilities </v>
      </c>
      <c r="C14" s="33">
        <f>'Data Entry'!C14</f>
        <v>7</v>
      </c>
      <c r="D14" s="34">
        <f>IF(((AND(C70&gt;0,C14&gt;0))), ((C14/(C70))),0)</f>
        <v>36.842105263157897</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3</v>
      </c>
      <c r="P14" s="42">
        <f t="shared" si="4"/>
        <v>7</v>
      </c>
      <c r="Q14" s="42">
        <f>(C70*L70)-C14</f>
        <v>12</v>
      </c>
      <c r="R14" s="42">
        <f t="shared" si="5"/>
        <v>22</v>
      </c>
      <c r="S14" s="30">
        <f t="shared" si="6"/>
        <v>9702</v>
      </c>
      <c r="T14" s="30">
        <f t="shared" si="7"/>
        <v>5985</v>
      </c>
      <c r="U14" s="31">
        <f t="shared" si="8"/>
        <v>1.6210526315789473</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27</v>
      </c>
      <c r="R15" s="42">
        <f t="shared" si="5"/>
        <v>31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2.0590000000000002</v>
      </c>
      <c r="D42" s="56">
        <f>E6/1000</f>
        <v>0.19700000000000001</v>
      </c>
      <c r="E42" s="56">
        <f>MAX(C42:D42)</f>
        <v>2.0590000000000002</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0.48</v>
      </c>
      <c r="D44" s="56">
        <f>E8/100</f>
        <v>0.04</v>
      </c>
      <c r="E44" s="56">
        <f>MAX(C44:D44,0)</f>
        <v>0.48</v>
      </c>
      <c r="G44" s="1" t="str">
        <f>B44</f>
        <v>per 100 referrals</v>
      </c>
      <c r="L44" s="57">
        <v>100</v>
      </c>
      <c r="M44" s="57"/>
      <c r="R44" s="49"/>
    </row>
    <row r="45" spans="2:18" ht="15" hidden="1" customHeight="1">
      <c r="B45" s="49" t="s">
        <v>89</v>
      </c>
      <c r="C45" s="49">
        <f>C11/100</f>
        <v>0.27</v>
      </c>
      <c r="D45" s="49">
        <f>E11/100</f>
        <v>0.04</v>
      </c>
      <c r="E45" s="56">
        <f>MAX(C45:D45,0)</f>
        <v>0.27</v>
      </c>
      <c r="G45" s="1" t="str">
        <f>B45</f>
        <v>per 100 youth petitioned</v>
      </c>
      <c r="L45" s="57">
        <v>100</v>
      </c>
      <c r="M45" s="57"/>
      <c r="R45" s="49"/>
    </row>
    <row r="46" spans="2:18" ht="15" hidden="1" customHeight="1">
      <c r="B46" s="49" t="s">
        <v>90</v>
      </c>
      <c r="C46" s="49">
        <f>C12/100</f>
        <v>0.19</v>
      </c>
      <c r="D46" s="49">
        <f>E12/100</f>
        <v>0.03</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2.0590000000000002</v>
      </c>
      <c r="D48" s="56">
        <f>D42</f>
        <v>0.19700000000000001</v>
      </c>
      <c r="E48" s="56">
        <f>MAX(C48:D48)</f>
        <v>2.0590000000000002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0.04</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0.04</v>
      </c>
      <c r="E51" s="49">
        <f>MAX(C51:D51)</f>
        <v>0.27</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0.03</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2.0590000000000002</v>
      </c>
      <c r="D54" s="56">
        <f>D48</f>
        <v>0.19700000000000001</v>
      </c>
      <c r="E54" s="56">
        <f>MAX(C54:D54)</f>
        <v>2.0590000000000002</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0.48</v>
      </c>
      <c r="D56" s="49">
        <f t="shared" si="10"/>
        <v>0.04</v>
      </c>
      <c r="E56" s="49">
        <f>MAX(C56:D56)</f>
        <v>0.48</v>
      </c>
      <c r="G56" s="1" t="str">
        <f>G50</f>
        <v>per 100 referrals</v>
      </c>
      <c r="L56" s="58">
        <f>IF(($E50&gt;0),L50,L49)</f>
        <v>100</v>
      </c>
      <c r="M56" s="58"/>
    </row>
    <row r="57" spans="2:18" ht="15" hidden="1" customHeight="1">
      <c r="B57" s="49" t="str">
        <f>IF(($E51&gt;0),B51,B49)</f>
        <v>per 100 youth petitioned</v>
      </c>
      <c r="C57" s="49">
        <f>IF(($E51&gt;0),C51,C50)</f>
        <v>0.27</v>
      </c>
      <c r="D57" s="49">
        <f>IF(($E51&gt;0),D51,D50)</f>
        <v>0.04</v>
      </c>
      <c r="E57" s="49">
        <f>MAX(C57:D57)</f>
        <v>0.27</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0.03</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2.0590000000000002</v>
      </c>
      <c r="D60" s="56">
        <f>D54</f>
        <v>0.19700000000000001</v>
      </c>
      <c r="E60" s="56">
        <f>MAX(C60:D60)</f>
        <v>2.0590000000000002</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0.48</v>
      </c>
      <c r="D62" s="49">
        <f t="shared" si="11"/>
        <v>0.04</v>
      </c>
      <c r="E62" s="49">
        <f>MAX(C62:D62)</f>
        <v>0.48</v>
      </c>
      <c r="G62" s="1" t="str">
        <f>G56</f>
        <v>per 100 referrals</v>
      </c>
      <c r="L62" s="58">
        <f>IF(($E56&gt;0),L56,L55)</f>
        <v>100</v>
      </c>
      <c r="M62" s="58"/>
    </row>
    <row r="63" spans="2:18" ht="15" hidden="1" customHeight="1">
      <c r="B63" s="49" t="str">
        <f>IF(($E57&gt;0),B57,B55)</f>
        <v>per 100 youth petitioned</v>
      </c>
      <c r="C63" s="49">
        <f>IF(($E57&gt;0),C57,C56)</f>
        <v>0.27</v>
      </c>
      <c r="D63" s="49">
        <f>IF(($E57&gt;0),D57,D56)</f>
        <v>0.04</v>
      </c>
      <c r="E63" s="49">
        <f>MAX(C63:D63)</f>
        <v>0.27</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0.03</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2.0590000000000002</v>
      </c>
      <c r="D66" s="56">
        <f>D60</f>
        <v>0.19700000000000001</v>
      </c>
      <c r="E66" s="56">
        <f>MAX(C66:D66)</f>
        <v>2.0590000000000002</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0.48</v>
      </c>
      <c r="D68" s="49">
        <f t="shared" si="12"/>
        <v>0.04</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0.04</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0.03</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Charlevoix</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20</v>
      </c>
      <c r="M10" s="1" t="e">
        <f>Hispanic!L10</f>
        <v>#VALUE!</v>
      </c>
      <c r="N10" s="1" t="e">
        <f>Asian!L10</f>
        <v>#VALUE!</v>
      </c>
      <c r="O10" s="1" t="e">
        <f>Hawaiian!L10</f>
        <v>#VALUE!</v>
      </c>
      <c r="P10" s="1" t="e">
        <f>'Am Indian'!L10</f>
        <v>#VALUE!</v>
      </c>
      <c r="Q10" s="1" t="e">
        <f>'Other - Mixed'!L10</f>
        <v>#VALUE!</v>
      </c>
      <c r="R10" s="1">
        <f>'All Minorities'!L10</f>
        <v>20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#VALUE!</v>
      </c>
      <c r="N13" s="1" t="e">
        <f>Asian!L13</f>
        <v>#VALUE!</v>
      </c>
      <c r="O13" s="1" t="e">
        <f>Hawaiian!L13</f>
        <v>#VALUE!</v>
      </c>
      <c r="P13" s="1" t="e">
        <f>'Am Indian'!L13</f>
        <v>#VALUE!</v>
      </c>
      <c r="Q13" s="1" t="e">
        <f>'Other - Mixed'!L13</f>
        <v>#VALUE!</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2256</v>
      </c>
      <c r="D3" s="57">
        <f>'Data Entry'!C6</f>
        <v>2059</v>
      </c>
      <c r="E3" s="57">
        <f>'Data Entry'!D6</f>
        <v>32</v>
      </c>
      <c r="F3" s="57">
        <f>'Data Entry'!E6</f>
        <v>94</v>
      </c>
      <c r="G3" s="57">
        <f>'Data Entry'!F6</f>
        <v>27</v>
      </c>
      <c r="H3" s="57">
        <f>'Data Entry'!G6</f>
        <v>0</v>
      </c>
      <c r="I3" s="57">
        <f>'Data Entry'!H6</f>
        <v>44</v>
      </c>
      <c r="J3" s="57">
        <f>'Data Entry'!I6</f>
        <v>0</v>
      </c>
      <c r="K3" s="57">
        <f>'Data Entry'!J6</f>
        <v>197</v>
      </c>
    </row>
    <row r="4" spans="2:11" ht="15" customHeight="1">
      <c r="B4" s="16" t="s">
        <v>8</v>
      </c>
      <c r="C4" s="1">
        <f>IF((C$3&gt;0),(1000*('Data Entry'!B7/'Data Entry'!B$6)), 0)</f>
        <v>0.88652482269503541</v>
      </c>
      <c r="D4" s="1">
        <f>IF((D$3&gt;0),(1000*('Data Entry'!C7/'Data Entry'!C$6)), 0)</f>
        <v>0.97134531325886353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23.049645390070921</v>
      </c>
      <c r="D5" s="1">
        <f>IF((D$3&gt;0),(1000*('Data Entry'!C8/'Data Entry'!C$6)), 0)</f>
        <v>23.312287518212724</v>
      </c>
      <c r="E5" s="1">
        <f>IF((E$3&gt;0),(1000*('Data Entry'!D8/'Data Entry'!D$6)), 0)</f>
        <v>125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20.304568527918779</v>
      </c>
    </row>
    <row r="6" spans="2:11" ht="15" customHeight="1">
      <c r="B6" s="16" t="s">
        <v>10</v>
      </c>
      <c r="C6" s="1">
        <f>IF((C$3&gt;0),(1000*('Data Entry'!B9/'Data Entry'!B$6)), 0)</f>
        <v>0.88652482269503541</v>
      </c>
      <c r="D6" s="1">
        <f>IF((D$3&gt;0),(1000*('Data Entry'!C9/'Data Entry'!C$6)), 0)</f>
        <v>0.97134531325886353</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1.7730496453900708</v>
      </c>
      <c r="D7" s="1">
        <f>IF((D$3&gt;0),(1000*('Data Entry'!C10/'Data Entry'!C$6)), 0)</f>
        <v>0.97134531325886353</v>
      </c>
      <c r="E7" s="1">
        <f>IF((E$3&gt;0),(1000*('Data Entry'!D10/'Data Entry'!D$6)), 0)</f>
        <v>62.5</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10.152284263959389</v>
      </c>
    </row>
    <row r="8" spans="2:11" ht="15" customHeight="1">
      <c r="B8" s="16" t="s">
        <v>95</v>
      </c>
      <c r="C8" s="1">
        <f>IF((C$3&gt;0),(1000*('Data Entry'!B11/'Data Entry'!B$6)), 0)</f>
        <v>13.74113475177305</v>
      </c>
      <c r="D8" s="1">
        <f>IF((D$3&gt;0),(1000*('Data Entry'!C11/'Data Entry'!C$6)), 0)</f>
        <v>13.113161728994658</v>
      </c>
      <c r="E8" s="1">
        <f>IF((E$3&gt;0),(1000*('Data Entry'!D11/'Data Entry'!D$6)), 0)</f>
        <v>125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20.304568527918779</v>
      </c>
    </row>
    <row r="9" spans="2:11" ht="15" customHeight="1">
      <c r="B9" s="16" t="s">
        <v>13</v>
      </c>
      <c r="C9" s="1">
        <f>IF((C$3&gt;0),(1000*('Data Entry'!B12/'Data Entry'!B$6)), 0)</f>
        <v>9.75177304964539</v>
      </c>
      <c r="D9" s="1">
        <f>IF((D$3&gt;0),(1000*('Data Entry'!C12/'Data Entry'!C$6)), 0)</f>
        <v>9.2277804759592037</v>
      </c>
      <c r="E9" s="1">
        <f>IF((E$3&gt;0),(1000*('Data Entry'!D12/'Data Entry'!D$6)), 0)</f>
        <v>93.75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15.228426395939087</v>
      </c>
    </row>
    <row r="10" spans="2:11" ht="15" customHeight="1">
      <c r="B10" s="16" t="s">
        <v>14</v>
      </c>
      <c r="C10" s="1">
        <f>IF((C$3&gt;0),(1000*('Data Entry'!B13/'Data Entry'!B$6)), 0)</f>
        <v>14.184397163120567</v>
      </c>
      <c r="D10" s="1">
        <f>IF((D$3&gt;0),(1000*('Data Entry'!C13/'Data Entry'!C$6)), 0)</f>
        <v>15.055852355512386</v>
      </c>
      <c r="E10" s="1">
        <f>IF((E$3&gt;0),(1000*('Data Entry'!D13/'Data Entry'!D$6)), 0)</f>
        <v>31.25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5.0761421319796947</v>
      </c>
    </row>
    <row r="11" spans="2:11" ht="25.5" customHeight="1">
      <c r="B11" s="16" t="s">
        <v>15</v>
      </c>
      <c r="C11" s="1">
        <f>IF((C$3&gt;0),(1000*('Data Entry'!B14/'Data Entry'!B$6)), 0)</f>
        <v>3.1028368794326244</v>
      </c>
      <c r="D11" s="1">
        <f>IF((D$3&gt;0),(1000*('Data Entry'!C14/'Data Entry'!C$6)), 0)</f>
        <v>3.3997085964060223</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Charlevoix</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5.361979166666667</v>
      </c>
      <c r="E20" s="72" t="str">
        <f t="shared" si="2"/>
        <v>--</v>
      </c>
      <c r="F20" s="72" t="str">
        <f t="shared" si="2"/>
        <v>--</v>
      </c>
      <c r="G20" s="72" t="str">
        <f t="shared" si="2"/>
        <v>--</v>
      </c>
      <c r="H20" s="72" t="str">
        <f t="shared" si="2"/>
        <v>--</v>
      </c>
      <c r="I20" s="72" t="str">
        <f t="shared" si="2"/>
        <v>--</v>
      </c>
      <c r="J20" s="73">
        <f t="shared" si="2"/>
        <v>0.87098138747884934</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f t="shared" si="2"/>
        <v>64.34375</v>
      </c>
      <c r="E22" s="72" t="str">
        <f t="shared" si="2"/>
        <v>--</v>
      </c>
      <c r="F22" s="72" t="str">
        <f t="shared" si="2"/>
        <v>--</v>
      </c>
      <c r="G22" s="72" t="str">
        <f t="shared" si="2"/>
        <v>--</v>
      </c>
      <c r="H22" s="72" t="str">
        <f t="shared" si="2"/>
        <v>--</v>
      </c>
      <c r="I22" s="72" t="str">
        <f t="shared" si="2"/>
        <v>--</v>
      </c>
      <c r="J22" s="73">
        <f t="shared" si="2"/>
        <v>10.451776649746192</v>
      </c>
    </row>
    <row r="23" spans="2:10" ht="15" customHeight="1">
      <c r="B23" s="71" t="s">
        <v>95</v>
      </c>
      <c r="C23" s="72">
        <f t="shared" si="2"/>
        <v>1</v>
      </c>
      <c r="D23" s="72">
        <f t="shared" si="2"/>
        <v>9.5324074074074066</v>
      </c>
      <c r="E23" s="72" t="str">
        <f t="shared" si="2"/>
        <v>--</v>
      </c>
      <c r="F23" s="72" t="str">
        <f t="shared" si="2"/>
        <v>--</v>
      </c>
      <c r="G23" s="72" t="str">
        <f t="shared" si="2"/>
        <v>--</v>
      </c>
      <c r="H23" s="72" t="str">
        <f t="shared" si="2"/>
        <v>--</v>
      </c>
      <c r="I23" s="72" t="str">
        <f t="shared" si="2"/>
        <v>--</v>
      </c>
      <c r="J23" s="73">
        <f t="shared" si="2"/>
        <v>1.5484113555179542</v>
      </c>
    </row>
    <row r="24" spans="2:10" ht="15" customHeight="1">
      <c r="B24" s="71" t="s">
        <v>13</v>
      </c>
      <c r="C24" s="72">
        <f t="shared" si="2"/>
        <v>1</v>
      </c>
      <c r="D24" s="72">
        <f t="shared" si="2"/>
        <v>10.159539473684211</v>
      </c>
      <c r="E24" s="72" t="str">
        <f t="shared" si="2"/>
        <v>--</v>
      </c>
      <c r="F24" s="72" t="str">
        <f t="shared" si="2"/>
        <v>--</v>
      </c>
      <c r="G24" s="72" t="str">
        <f t="shared" si="2"/>
        <v>--</v>
      </c>
      <c r="H24" s="72" t="str">
        <f t="shared" si="2"/>
        <v>--</v>
      </c>
      <c r="I24" s="72" t="str">
        <f t="shared" si="2"/>
        <v>--</v>
      </c>
      <c r="J24" s="73">
        <f t="shared" si="2"/>
        <v>1.6502805236441358</v>
      </c>
    </row>
    <row r="25" spans="2:10" ht="15" customHeight="1">
      <c r="B25" s="71" t="s">
        <v>14</v>
      </c>
      <c r="C25" s="72">
        <f t="shared" si="2"/>
        <v>1</v>
      </c>
      <c r="D25" s="72">
        <f t="shared" si="2"/>
        <v>2.0756048387096775</v>
      </c>
      <c r="E25" s="72" t="str">
        <f t="shared" si="2"/>
        <v>--</v>
      </c>
      <c r="F25" s="72" t="str">
        <f t="shared" si="2"/>
        <v>--</v>
      </c>
      <c r="G25" s="72" t="str">
        <f t="shared" si="2"/>
        <v>--</v>
      </c>
      <c r="H25" s="72" t="str">
        <f t="shared" si="2"/>
        <v>--</v>
      </c>
      <c r="I25" s="72" t="str">
        <f t="shared" si="2"/>
        <v>--</v>
      </c>
      <c r="J25" s="73">
        <f t="shared" si="2"/>
        <v>0.3371540854756836</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Charlevoix</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2059</v>
      </c>
      <c r="D7" s="104">
        <f>'Data Entry'!D6</f>
        <v>32</v>
      </c>
      <c r="E7" s="105"/>
      <c r="F7" s="106">
        <f>'Data Entry'!E6</f>
        <v>94</v>
      </c>
      <c r="G7" s="105"/>
      <c r="H7" s="106">
        <f>'Data Entry'!F6</f>
        <v>27</v>
      </c>
      <c r="I7" s="105"/>
      <c r="J7" s="106">
        <f>'Data Entry'!G6</f>
        <v>0</v>
      </c>
      <c r="K7" s="105"/>
      <c r="L7" s="106">
        <f>'Data Entry'!H6</f>
        <v>44</v>
      </c>
      <c r="M7" s="105"/>
      <c r="N7" s="106">
        <f>'Data Entry'!I6</f>
        <v>0</v>
      </c>
      <c r="O7" s="105"/>
      <c r="P7" s="106">
        <f>'Data Entry'!J6</f>
        <v>197</v>
      </c>
      <c r="Q7" s="107"/>
    </row>
    <row r="8" spans="2:26" s="1" customFormat="1" ht="15" customHeight="1">
      <c r="B8" s="142" t="s">
        <v>8</v>
      </c>
      <c r="C8" s="103">
        <f>'Data Entry'!C7</f>
        <v>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48</v>
      </c>
      <c r="D9" s="108">
        <f>'Data Entry'!D8</f>
        <v>4</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4</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2</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2</v>
      </c>
      <c r="D11" s="108">
        <f>'Data Entry'!D10</f>
        <v>2</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2</v>
      </c>
      <c r="Q11" s="111" t="str">
        <f>'All Minorities'!G10</f>
        <v>**</v>
      </c>
      <c r="R11"/>
      <c r="T11" s="1">
        <f>'Black or African-American'!L10</f>
        <v>20</v>
      </c>
      <c r="U11" s="1" t="e">
        <f>Hispanic!L10</f>
        <v>#VALUE!</v>
      </c>
      <c r="V11" s="1" t="e">
        <f>Asian!L10</f>
        <v>#VALUE!</v>
      </c>
      <c r="W11" s="1" t="e">
        <f>Hawaiian!L10</f>
        <v>#VALUE!</v>
      </c>
      <c r="X11" s="1" t="e">
        <f>'Am Indian'!L10</f>
        <v>#VALUE!</v>
      </c>
      <c r="Y11" s="1" t="e">
        <f>'Other - Mixed'!L10</f>
        <v>#VALUE!</v>
      </c>
      <c r="Z11" s="1">
        <f>'All Minorities'!L10</f>
        <v>20</v>
      </c>
    </row>
    <row r="12" spans="2:26" s="1" customFormat="1" ht="15" customHeight="1">
      <c r="B12" s="142" t="s">
        <v>95</v>
      </c>
      <c r="C12" s="103">
        <f>'Data Entry'!C11</f>
        <v>27</v>
      </c>
      <c r="D12" s="112">
        <f>'Data Entry'!D11</f>
        <v>4</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4</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19</v>
      </c>
      <c r="D13" s="108">
        <f>'Data Entry'!D12</f>
        <v>3</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3</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31</v>
      </c>
      <c r="D14" s="112">
        <f>'Data Entry'!D13</f>
        <v>1</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1</v>
      </c>
      <c r="Q14" s="115" t="str">
        <f>'All Minorities'!G13</f>
        <v>**</v>
      </c>
      <c r="R14"/>
      <c r="T14" s="1">
        <f>'Black or African-American'!L13</f>
        <v>20</v>
      </c>
      <c r="U14" s="1" t="e">
        <f>Hispanic!L13</f>
        <v>#VALUE!</v>
      </c>
      <c r="V14" s="1" t="e">
        <f>Asian!L13</f>
        <v>#VALUE!</v>
      </c>
      <c r="W14" s="1" t="e">
        <f>Hawaiian!L13</f>
        <v>#VALUE!</v>
      </c>
      <c r="X14" s="1" t="e">
        <f>'Am Indian'!L13</f>
        <v>#VALUE!</v>
      </c>
      <c r="Y14" s="1" t="e">
        <f>'Other - Mixed'!L13</f>
        <v>#VALUE!</v>
      </c>
      <c r="Z14" s="1">
        <f>'All Minorities'!L13</f>
        <v>20</v>
      </c>
    </row>
    <row r="15" spans="2:26" s="1" customFormat="1" ht="33">
      <c r="B15" s="144" t="s">
        <v>123</v>
      </c>
      <c r="C15" s="103">
        <f>'Data Entry'!C14</f>
        <v>7</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Charlevoix</v>
      </c>
    </row>
    <row r="6" spans="1:12">
      <c r="A6" s="135" t="str">
        <f>CONCATENATE("Percentage of Minorities at Stages of the Juvenile Justice System, ", A5, " 2024")</f>
        <v>Percentage of Minorities at Stages of the Juvenile Justice System, County: Charlevoix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10.451776649746193</v>
      </c>
    </row>
    <row r="8" spans="1:12" ht="25.5" customHeight="1">
      <c r="A8" s="151" t="str">
        <f>CONCATENATE("Confinement, total N=", 'Data Entry'!B14)</f>
        <v>Confinement, total N=7</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N=7</v>
      </c>
      <c r="L8">
        <f>I14/(SUM(B14:G14))</f>
        <v>10.451776649746193</v>
      </c>
    </row>
    <row r="9" spans="1:12">
      <c r="A9" s="128" t="str">
        <f>CONCATENATE("Delinquent Findings, total N=", 'Data Entry'!B12)</f>
        <v>Delinquent Findings, total N=22</v>
      </c>
      <c r="B9" s="150">
        <f>'Data Entry'!D12/'Data Entry'!B12</f>
        <v>0.13636363636363635</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0.86363636363636365</v>
      </c>
      <c r="K9" s="96" t="str">
        <f t="shared" si="0"/>
        <v>Delinquent Findings, total N=22</v>
      </c>
      <c r="L9">
        <f>I14/(SUM(B14:G14))</f>
        <v>10.451776649746193</v>
      </c>
    </row>
    <row r="10" spans="1:12">
      <c r="A10" s="128" t="str">
        <f>CONCATENATE("Petitions, total N=", 'Data Entry'!B11)</f>
        <v>Petitions, total N=31</v>
      </c>
      <c r="B10" s="150">
        <f>'Data Entry'!D11/'Data Entry'!B11</f>
        <v>0.12903225806451613</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0.87096774193548387</v>
      </c>
      <c r="K10" s="96" t="str">
        <f t="shared" si="0"/>
        <v>Petitions, total N=31</v>
      </c>
      <c r="L10">
        <f>I14/(SUM(B14:G14))</f>
        <v>10.451776649746193</v>
      </c>
    </row>
    <row r="11" spans="1:12">
      <c r="A11" s="128" t="str">
        <f>CONCATENATE("Detentions, total N=", 'Data Entry'!B10)</f>
        <v>Detentions, total N=4</v>
      </c>
      <c r="B11" s="150">
        <f>'Data Entry'!D10/'Data Entry'!B10</f>
        <v>0.5</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0.5</v>
      </c>
      <c r="K11" s="96" t="str">
        <f t="shared" si="0"/>
        <v>Detentions, total N=4</v>
      </c>
      <c r="L11">
        <f>I14/(SUM(B14:G14))</f>
        <v>10.451776649746193</v>
      </c>
    </row>
    <row r="12" spans="1:12">
      <c r="A12" s="128" t="str">
        <f>CONCATENATE("Referrals, total N=", 'Data Entry'!B8)</f>
        <v>Referrals, total N=52</v>
      </c>
      <c r="B12" s="150">
        <f>'Data Entry'!D8/'Data Entry'!B8</f>
        <v>7.6923076923076927E-2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0.92307692307692313</v>
      </c>
      <c r="K12" s="96" t="str">
        <f t="shared" si="0"/>
        <v>Referrals, total N=52</v>
      </c>
      <c r="L12">
        <f>I14/(SUM(B14:G14))</f>
        <v>10.451776649746193</v>
      </c>
    </row>
    <row r="13" spans="1:12">
      <c r="A13" s="128" t="str">
        <f>CONCATENATE("Arrests, total N=", 'Data Entry'!B7)</f>
        <v>Arrests, total N=2</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N=2</v>
      </c>
      <c r="L13">
        <f>I14/(SUM(B14:G14))</f>
        <v>10.451776649746193</v>
      </c>
    </row>
    <row r="14" spans="1:12">
      <c r="A14" s="128" t="str">
        <f>CONCATENATE("Population, total N=", 'Data Entry'!B6)</f>
        <v>Population, total N=2256</v>
      </c>
      <c r="B14" s="150">
        <f>'Data Entry'!D6/'Data Entry'!B6</f>
        <v>1.4184397163120567E-2</v>
      </c>
      <c r="C14" s="150">
        <f>'Data Entry'!E6/'Data Entry'!B6</f>
        <v>4.1666666666666664E-2</v>
      </c>
      <c r="D14" s="150">
        <f>'Data Entry'!F6/'Data Entry'!B6</f>
        <v>1.1968085106382979E-2</v>
      </c>
      <c r="E14" s="150">
        <f>'Data Entry'!G6/'Data Entry'!B6</f>
        <v>0</v>
      </c>
      <c r="F14" s="150">
        <f>'Data Entry'!H6/'Data Entry'!B6</f>
        <v>1.9503546099290781E-2</v>
      </c>
      <c r="G14" s="150">
        <f>'Data Entry'!I6/'Data Entry'!B6</f>
        <v>0</v>
      </c>
      <c r="H14" s="150">
        <f>SUM(D14:G14)/'Data Entry'!B6</f>
        <v>1.3950191137266735E-5</v>
      </c>
      <c r="I14" s="150">
        <f>'Data Entry'!C6/'Data Entry'!B6</f>
        <v>0.91267730496453903</v>
      </c>
      <c r="K14" s="96" t="str">
        <f t="shared" si="0"/>
        <v>Population, total N=2256</v>
      </c>
      <c r="L14">
        <f>I14/(SUM(B14:G14))</f>
        <v>10.451776649746193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Charlevoix</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2059</v>
      </c>
      <c r="D7" s="104">
        <f>'Data Entry'!D6</f>
        <v>32</v>
      </c>
      <c r="E7" s="105"/>
      <c r="F7" s="106">
        <f>'Data Entry'!E6</f>
        <v>94</v>
      </c>
      <c r="G7" s="105"/>
      <c r="H7" s="106">
        <f>'Data Entry'!F6</f>
        <v>27</v>
      </c>
      <c r="I7" s="105"/>
      <c r="J7" s="106">
        <f>'Data Entry'!J6</f>
        <v>197</v>
      </c>
      <c r="K7" s="107"/>
    </row>
    <row r="8" spans="2:30" s="1" customFormat="1" ht="15" customHeight="1">
      <c r="B8" s="121" t="s">
        <v>8</v>
      </c>
      <c r="C8" s="103">
        <f>'Data Entry'!C7</f>
        <v>2</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48</v>
      </c>
      <c r="D9" s="108">
        <f>'Data Entry'!D8</f>
        <v>4</v>
      </c>
      <c r="E9" s="109" t="str">
        <f>'Black or African-American'!$G8</f>
        <v>**</v>
      </c>
      <c r="F9" s="110">
        <f>'Data Entry'!E8</f>
        <v>0</v>
      </c>
      <c r="G9" s="109" t="str">
        <f>Hispanic!G8</f>
        <v>**</v>
      </c>
      <c r="H9" s="110">
        <f>'Data Entry'!F8</f>
        <v>0</v>
      </c>
      <c r="I9" s="109" t="str">
        <f>Asian!G8</f>
        <v>**</v>
      </c>
      <c r="J9" s="110">
        <f>'Data Entry'!J8</f>
        <v>4</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2</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2</v>
      </c>
      <c r="D11" s="108">
        <f>'Data Entry'!D10</f>
        <v>2</v>
      </c>
      <c r="E11" s="109" t="str">
        <f>'Black or African-American'!$G10</f>
        <v>**</v>
      </c>
      <c r="F11" s="110">
        <f>'Data Entry'!E10</f>
        <v>0</v>
      </c>
      <c r="G11" s="109" t="str">
        <f>Hispanic!G10</f>
        <v>--</v>
      </c>
      <c r="H11" s="110">
        <f>'Data Entry'!F10</f>
        <v>0</v>
      </c>
      <c r="I11" s="109" t="str">
        <f>Asian!G10</f>
        <v>--</v>
      </c>
      <c r="J11" s="110">
        <f>'Data Entry'!J10</f>
        <v>2</v>
      </c>
      <c r="K11" s="111" t="str">
        <f>'All Minorities'!G10</f>
        <v>**</v>
      </c>
      <c r="L11"/>
      <c r="N11" s="1">
        <f>'Black or African-American'!L10</f>
        <v>20</v>
      </c>
      <c r="O11" s="1" t="e">
        <f>Hispanic!L10</f>
        <v>#VALUE!</v>
      </c>
      <c r="P11" s="1" t="e">
        <f>Asian!L10</f>
        <v>#VALUE!</v>
      </c>
      <c r="Q11" s="1" t="e">
        <f>Hawaiian!L10</f>
        <v>#VALUE!</v>
      </c>
      <c r="R11" s="1" t="e">
        <f>'Am Indian'!L10</f>
        <v>#VALUE!</v>
      </c>
      <c r="S11" s="1" t="e">
        <f>'Other - Mixed'!L10</f>
        <v>#VALUE!</v>
      </c>
      <c r="T11" s="1">
        <f>'All Minorities'!L10</f>
        <v>20</v>
      </c>
    </row>
    <row r="12" spans="2:30" s="1" customFormat="1" ht="15" customHeight="1">
      <c r="B12" s="121" t="s">
        <v>95</v>
      </c>
      <c r="C12" s="103">
        <f>'Data Entry'!C11</f>
        <v>27</v>
      </c>
      <c r="D12" s="112">
        <f>'Data Entry'!D11</f>
        <v>4</v>
      </c>
      <c r="E12" s="113" t="str">
        <f>'Black or African-American'!$G11</f>
        <v>**</v>
      </c>
      <c r="F12" s="114">
        <f>'Data Entry'!E11</f>
        <v>0</v>
      </c>
      <c r="G12" s="113" t="str">
        <f>Hispanic!G11</f>
        <v>--</v>
      </c>
      <c r="H12" s="114">
        <f>'Data Entry'!F11</f>
        <v>0</v>
      </c>
      <c r="I12" s="113" t="str">
        <f>Asian!G11</f>
        <v>--</v>
      </c>
      <c r="J12" s="114">
        <f>'Data Entry'!J11</f>
        <v>4</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19</v>
      </c>
      <c r="D13" s="108">
        <f>'Data Entry'!D12</f>
        <v>3</v>
      </c>
      <c r="E13" s="109" t="str">
        <f>'Black or African-American'!$G12</f>
        <v>**</v>
      </c>
      <c r="F13" s="110">
        <f>'Data Entry'!E12</f>
        <v>0</v>
      </c>
      <c r="G13" s="109" t="str">
        <f>Hispanic!G12</f>
        <v>--</v>
      </c>
      <c r="H13" s="110">
        <f>'Data Entry'!F12</f>
        <v>0</v>
      </c>
      <c r="I13" s="109" t="str">
        <f>Asian!G12</f>
        <v>--</v>
      </c>
      <c r="J13" s="110">
        <f>'Data Entry'!J12</f>
        <v>3</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31</v>
      </c>
      <c r="D14" s="112">
        <f>'Data Entry'!D13</f>
        <v>1</v>
      </c>
      <c r="E14" s="113" t="str">
        <f>'Black or African-American'!$G13</f>
        <v>**</v>
      </c>
      <c r="F14" s="114">
        <f>'Data Entry'!E13</f>
        <v>0</v>
      </c>
      <c r="G14" s="113" t="str">
        <f>Hispanic!G13</f>
        <v>--</v>
      </c>
      <c r="H14" s="114">
        <f>'Data Entry'!F13</f>
        <v>0</v>
      </c>
      <c r="I14" s="113" t="str">
        <f>Asian!G13</f>
        <v>--</v>
      </c>
      <c r="J14" s="114">
        <f>'Data Entry'!J13</f>
        <v>1</v>
      </c>
      <c r="K14" s="115" t="str">
        <f>'All Minorities'!G13</f>
        <v>**</v>
      </c>
      <c r="L14"/>
      <c r="N14" s="1">
        <f>'Black or African-American'!L13</f>
        <v>20</v>
      </c>
      <c r="O14" s="1" t="e">
        <f>Hispanic!L13</f>
        <v>#VALUE!</v>
      </c>
      <c r="P14" s="1" t="e">
        <f>Asian!L13</f>
        <v>#VALUE!</v>
      </c>
      <c r="Q14" s="1" t="e">
        <f>Hawaiian!L13</f>
        <v>#VALUE!</v>
      </c>
      <c r="R14" s="1" t="e">
        <f>'Am Indian'!L13</f>
        <v>#VALUE!</v>
      </c>
      <c r="S14" s="1" t="e">
        <f>'Other - Mixed'!L13</f>
        <v>#VALUE!</v>
      </c>
      <c r="T14" s="1">
        <f>'All Minorities'!L13</f>
        <v>20</v>
      </c>
      <c r="W14" s="8"/>
      <c r="X14" s="8"/>
      <c r="Y14" s="8"/>
      <c r="Z14" s="8"/>
      <c r="AA14" s="8"/>
      <c r="AB14" s="8"/>
      <c r="AC14" s="8"/>
      <c r="AD14" s="8"/>
    </row>
    <row r="15" spans="2:30" s="1" customFormat="1" ht="33">
      <c r="B15" s="126" t="s">
        <v>123</v>
      </c>
      <c r="C15" s="103">
        <f>'Data Entry'!C14</f>
        <v>7</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2059</v>
      </c>
      <c r="D6" s="34"/>
      <c r="E6" s="33">
        <f>'Data Entry'!D6</f>
        <v>32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0.97134531325886342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32</v>
      </c>
      <c r="P7" s="42">
        <f t="shared" ref="P7:P15" si="2">C7</f>
        <v>2</v>
      </c>
      <c r="Q7" s="42">
        <f>C6-C7</f>
        <v>2057</v>
      </c>
      <c r="R7" s="42">
        <f t="shared" ref="R7:R15" si="3">SUM(N7:Q7)</f>
        <v>2091</v>
      </c>
      <c r="S7" s="30">
        <f t="shared" ref="S7:S15" si="4">R7*((((N7*Q7)-(O7*P7))^2))</f>
        <v>8564736</v>
      </c>
      <c r="T7" s="30">
        <f t="shared" ref="T7:T15" si="5">(N7+O7)*(P7+Q7)*(N7+P7)*(O7+Q7)</f>
        <v>275280064</v>
      </c>
      <c r="U7" s="31">
        <f t="shared" ref="U7:U15" si="6">IF((S7&gt;0),S7/T7,"- -")</f>
        <v>3.1112808808414109E-2</v>
      </c>
    </row>
    <row r="8" spans="2:21" ht="18" customHeight="1">
      <c r="B8" s="32" t="str">
        <f>'Data Entry'!A8</f>
        <v>3. Refer to Juvenile Court</v>
      </c>
      <c r="C8" s="33">
        <f>'Data Entry'!C8</f>
        <v>48</v>
      </c>
      <c r="D8" s="34">
        <f>IF((AND(C67&gt;0,C8&gt;0)),(C8/C67),0)</f>
        <v>2400</v>
      </c>
      <c r="E8" s="33">
        <f>'Data Entry'!D8</f>
        <v>4</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4</v>
      </c>
      <c r="O8" s="42">
        <f>((D67*L67)-E8)+0.05</f>
        <v>-3.95</v>
      </c>
      <c r="P8" s="42">
        <f t="shared" si="2"/>
        <v>48</v>
      </c>
      <c r="Q8" s="42">
        <f>(C$67*L67)-C8</f>
        <v>-46</v>
      </c>
      <c r="R8" s="42">
        <f t="shared" si="3"/>
        <v>2.0499999999999972</v>
      </c>
      <c r="S8" s="30">
        <f t="shared" si="4"/>
        <v>64.288000000000437</v>
      </c>
      <c r="T8" s="30">
        <f t="shared" si="5"/>
        <v>-259.7399999999991</v>
      </c>
      <c r="U8" s="31">
        <f t="shared" si="6"/>
        <v>-0.24750904750905006</v>
      </c>
    </row>
    <row r="9" spans="2:21" ht="18" customHeight="1">
      <c r="B9" s="32" t="str">
        <f>'Data Entry'!A9</f>
        <v xml:space="preserve">4. Cases Diverted </v>
      </c>
      <c r="C9" s="33">
        <f>'Data Entry'!C9</f>
        <v>2</v>
      </c>
      <c r="D9" s="34">
        <f>IF((AND(C68&gt;0,C9&gt;0)),((C9/C68)),0)</f>
        <v>4.166666666666667</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4</v>
      </c>
      <c r="P9" s="42">
        <f t="shared" si="2"/>
        <v>2</v>
      </c>
      <c r="Q9" s="42">
        <f>(C$68*L68)-C9</f>
        <v>46</v>
      </c>
      <c r="R9" s="42">
        <f t="shared" si="3"/>
        <v>52</v>
      </c>
      <c r="S9" s="30">
        <f t="shared" si="4"/>
        <v>3328</v>
      </c>
      <c r="T9" s="30">
        <f t="shared" si="5"/>
        <v>19200</v>
      </c>
      <c r="U9" s="31">
        <f t="shared" si="6"/>
        <v>0.17333333333333334</v>
      </c>
    </row>
    <row r="10" spans="2:21" ht="18" customHeight="1">
      <c r="B10" s="32" t="str">
        <f>'Data Entry'!A10</f>
        <v>5. Cases Involving Secure Detention</v>
      </c>
      <c r="C10" s="33">
        <f>'Data Entry'!C10</f>
        <v>2</v>
      </c>
      <c r="D10" s="34">
        <f>IF(((AND(C68&gt;0,C10&gt;0))),(C10/(C68)),0)</f>
        <v>4.166666666666667</v>
      </c>
      <c r="E10" s="33">
        <f>'Data Entry'!D10</f>
        <v>2</v>
      </c>
      <c r="F10" s="34">
        <f>IF(((AND($E$10&gt;0,$D$68&gt;0))),($E$10/($D$68)),0)</f>
        <v>50</v>
      </c>
      <c r="G10" s="39" t="str">
        <f t="shared" si="7"/>
        <v>**</v>
      </c>
      <c r="H10" s="40"/>
      <c r="I10" s="41"/>
      <c r="J10" s="40">
        <f>IF((ABS($U10)&gt;Defaults!D$7),1,2)</f>
        <v>1</v>
      </c>
      <c r="K10" s="39">
        <f>IF((AND(N10&gt;Defaults!B$12,(N10+O10)&gt;Defaults!B$13, P10 &gt; Defaults!B$12, (P10+Q10) &gt; Defaults!B$13)),1,20)</f>
        <v>20</v>
      </c>
      <c r="L10" s="1">
        <f t="shared" si="8"/>
        <v>20</v>
      </c>
      <c r="M10" s="1" t="b">
        <f t="shared" si="0"/>
        <v>1</v>
      </c>
      <c r="N10" s="42">
        <f t="shared" si="1"/>
        <v>2</v>
      </c>
      <c r="O10" s="42">
        <f>(D$68*L68)-E10</f>
        <v>2</v>
      </c>
      <c r="P10" s="42">
        <f t="shared" si="2"/>
        <v>2</v>
      </c>
      <c r="Q10" s="42">
        <f>(C$68*L68)-C10</f>
        <v>46</v>
      </c>
      <c r="R10" s="42">
        <f t="shared" si="3"/>
        <v>52</v>
      </c>
      <c r="S10" s="30">
        <f t="shared" si="4"/>
        <v>402688</v>
      </c>
      <c r="T10" s="30">
        <f t="shared" si="5"/>
        <v>36864</v>
      </c>
      <c r="U10" s="31">
        <f t="shared" si="6"/>
        <v>10.923611111111111</v>
      </c>
    </row>
    <row r="11" spans="2:21" ht="18" customHeight="1">
      <c r="B11" s="32" t="str">
        <f>'Data Entry'!A11</f>
        <v>6. Cases Petitioned (Charge Filed)</v>
      </c>
      <c r="C11" s="33">
        <f>'Data Entry'!C11</f>
        <v>27</v>
      </c>
      <c r="D11" s="34">
        <f>IF(((AND(C68&gt;0,C11&gt;0))),(C11/(C68)),0)</f>
        <v>56.25</v>
      </c>
      <c r="E11" s="33">
        <f>'Data Entry'!D11</f>
        <v>4</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4</v>
      </c>
      <c r="O11" s="42">
        <f>(D$68*L68)-E11</f>
        <v>0</v>
      </c>
      <c r="P11" s="42">
        <f t="shared" si="2"/>
        <v>27</v>
      </c>
      <c r="Q11" s="42">
        <f>(C$68*L68)-C11</f>
        <v>21</v>
      </c>
      <c r="R11" s="42">
        <f t="shared" si="3"/>
        <v>52</v>
      </c>
      <c r="S11" s="30">
        <f t="shared" si="4"/>
        <v>366912</v>
      </c>
      <c r="T11" s="30">
        <f t="shared" si="5"/>
        <v>124992</v>
      </c>
      <c r="U11" s="31">
        <f t="shared" si="6"/>
        <v>2.935483870967742</v>
      </c>
    </row>
    <row r="12" spans="2:21" ht="18" customHeight="1">
      <c r="B12" s="32" t="str">
        <f>'Data Entry'!A12</f>
        <v>7. Cases Resulting in Delinquent Findings</v>
      </c>
      <c r="C12" s="33">
        <f>'Data Entry'!C12</f>
        <v>19</v>
      </c>
      <c r="D12" s="34">
        <f>IF(((AND(C69&gt;0,C12&gt;0))),(C12/(C69)),0)</f>
        <v>70.370370370370367</v>
      </c>
      <c r="E12" s="33">
        <f>'Data Entry'!D12</f>
        <v>3</v>
      </c>
      <c r="F12" s="34">
        <f>IF(((AND($D$69&gt;0,$E$12&gt;0))),(E12/(D69)),0)</f>
        <v>75</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3</v>
      </c>
      <c r="O12" s="42">
        <f>(D69*L69)-E12</f>
        <v>1</v>
      </c>
      <c r="P12" s="42">
        <f t="shared" si="2"/>
        <v>19</v>
      </c>
      <c r="Q12" s="42">
        <f>(C69*L69)-C12</f>
        <v>8</v>
      </c>
      <c r="R12" s="42">
        <f t="shared" si="3"/>
        <v>31</v>
      </c>
      <c r="S12" s="30">
        <f t="shared" si="4"/>
        <v>775</v>
      </c>
      <c r="T12" s="30">
        <f t="shared" si="5"/>
        <v>21384</v>
      </c>
      <c r="U12" s="31">
        <f t="shared" si="6"/>
        <v>3.6242050130939021E-2</v>
      </c>
    </row>
    <row r="13" spans="2:21" ht="18" customHeight="1">
      <c r="B13" s="32" t="str">
        <f>'Data Entry'!A13</f>
        <v>8. Cases Resulting in Probation Placement</v>
      </c>
      <c r="C13" s="33">
        <f>'Data Entry'!C13</f>
        <v>31</v>
      </c>
      <c r="D13" s="34">
        <f>IF(((AND(C70&gt;0,C13&gt;0))),(C13/(C70)),0)</f>
        <v>163.15789473684211</v>
      </c>
      <c r="E13" s="33">
        <f>'Data Entry'!D13</f>
        <v>1</v>
      </c>
      <c r="F13" s="34">
        <f>IF(((AND($D$70&gt;0,$E$13&gt;0))),($E$13/($D$70)),0)</f>
        <v>33.333333333333336</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1</v>
      </c>
      <c r="O13" s="42">
        <f>(D70*L70)-E13</f>
        <v>2</v>
      </c>
      <c r="P13" s="42">
        <f t="shared" si="2"/>
        <v>31</v>
      </c>
      <c r="Q13" s="42">
        <f>(C70*L70)-C13</f>
        <v>-12</v>
      </c>
      <c r="R13" s="42">
        <f t="shared" si="3"/>
        <v>22</v>
      </c>
      <c r="S13" s="30">
        <f t="shared" si="4"/>
        <v>120472</v>
      </c>
      <c r="T13" s="30">
        <f t="shared" si="5"/>
        <v>-18240</v>
      </c>
      <c r="U13" s="31">
        <f t="shared" si="6"/>
        <v>-6.6048245614035084</v>
      </c>
    </row>
    <row r="14" spans="2:21" ht="30.75" customHeight="1">
      <c r="B14" s="32" t="str">
        <f>'Data Entry'!A14</f>
        <v xml:space="preserve">9. Cases Resulting in Confinement in Secure Juvenile Correctional Facilities </v>
      </c>
      <c r="C14" s="33">
        <f>'Data Entry'!C14</f>
        <v>7</v>
      </c>
      <c r="D14" s="34">
        <f>IF(((AND(C70&gt;0,C14&gt;0))), ((C14/(C70))),0)</f>
        <v>36.842105263157897</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3</v>
      </c>
      <c r="P14" s="42">
        <f t="shared" si="2"/>
        <v>7</v>
      </c>
      <c r="Q14" s="42">
        <f>(C70*L70)-C14</f>
        <v>12</v>
      </c>
      <c r="R14" s="42">
        <f t="shared" si="3"/>
        <v>22</v>
      </c>
      <c r="S14" s="30">
        <f t="shared" si="4"/>
        <v>9702</v>
      </c>
      <c r="T14" s="30">
        <f t="shared" si="5"/>
        <v>5985</v>
      </c>
      <c r="U14" s="31">
        <f t="shared" si="6"/>
        <v>1.6210526315789473</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v>
      </c>
      <c r="P15" s="42">
        <f t="shared" si="2"/>
        <v>0</v>
      </c>
      <c r="Q15" s="42">
        <f>(C69*L69)-C15</f>
        <v>27</v>
      </c>
      <c r="R15" s="42">
        <f t="shared" si="3"/>
        <v>31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2.0590000000000002</v>
      </c>
      <c r="D42" s="56">
        <f>E6/1000</f>
        <v>3.2000000000000001E-2</v>
      </c>
      <c r="E42" s="56">
        <f>MAX(C42:D42)</f>
        <v>2.0590000000000002</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0.48</v>
      </c>
      <c r="D44" s="56">
        <f>E8/100</f>
        <v>0.04</v>
      </c>
      <c r="E44" s="56">
        <f>MAX(C44:D44,0)</f>
        <v>0.48</v>
      </c>
      <c r="G44" s="1" t="str">
        <f>B44</f>
        <v>per 100 referrals</v>
      </c>
      <c r="L44" s="57">
        <v>100</v>
      </c>
      <c r="M44" s="57"/>
      <c r="R44" s="49"/>
    </row>
    <row r="45" spans="2:18" ht="15" hidden="1" customHeight="1">
      <c r="B45" s="49" t="s">
        <v>89</v>
      </c>
      <c r="C45" s="49">
        <f>C11/100</f>
        <v>0.27</v>
      </c>
      <c r="D45" s="49">
        <f>E11/100</f>
        <v>0.04</v>
      </c>
      <c r="E45" s="56">
        <f>MAX(C45:D45,0)</f>
        <v>0.27</v>
      </c>
      <c r="G45" s="1" t="str">
        <f>B45</f>
        <v>per 100 youth petitioned</v>
      </c>
      <c r="L45" s="57">
        <v>100</v>
      </c>
      <c r="M45" s="57"/>
      <c r="R45" s="49"/>
    </row>
    <row r="46" spans="2:18" ht="15" hidden="1" customHeight="1">
      <c r="B46" s="49" t="s">
        <v>90</v>
      </c>
      <c r="C46" s="49">
        <f>C12/100</f>
        <v>0.19</v>
      </c>
      <c r="D46" s="49">
        <f>E12/100</f>
        <v>0.03</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2.0590000000000002</v>
      </c>
      <c r="D48" s="56">
        <f>D42</f>
        <v>3.2000000000000001E-2</v>
      </c>
      <c r="E48" s="56">
        <f>MAX(C48:D48)</f>
        <v>2.0590000000000002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0.04</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0.04</v>
      </c>
      <c r="E51" s="49">
        <f>MAX(C51:D51)</f>
        <v>0.27</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0.03</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2.0590000000000002</v>
      </c>
      <c r="D54" s="56">
        <f>D48</f>
        <v>3.2000000000000001E-2</v>
      </c>
      <c r="E54" s="56">
        <f>MAX(C54:D54)</f>
        <v>2.0590000000000002</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0.48</v>
      </c>
      <c r="D56" s="49">
        <f t="shared" si="10"/>
        <v>0.04</v>
      </c>
      <c r="E56" s="49">
        <f>MAX(C56:D56)</f>
        <v>0.48</v>
      </c>
      <c r="G56" s="1" t="str">
        <f>G50</f>
        <v>per 100 referrals</v>
      </c>
      <c r="L56" s="58">
        <f>IF(($E50&gt;0),L50,L49)</f>
        <v>100</v>
      </c>
      <c r="M56" s="58"/>
    </row>
    <row r="57" spans="2:18" ht="15" hidden="1" customHeight="1">
      <c r="B57" s="49" t="str">
        <f>IF(($E51&gt;0),B51,B49)</f>
        <v>per 100 youth petitioned</v>
      </c>
      <c r="C57" s="49">
        <f>IF(($E51&gt;0),C51,C50)</f>
        <v>0.27</v>
      </c>
      <c r="D57" s="49">
        <f>IF(($E51&gt;0),D51,D50)</f>
        <v>0.04</v>
      </c>
      <c r="E57" s="49">
        <f>MAX(C57:D57)</f>
        <v>0.27</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0.03</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2.0590000000000002</v>
      </c>
      <c r="D60" s="56">
        <f>D54</f>
        <v>3.2000000000000001E-2</v>
      </c>
      <c r="E60" s="56">
        <f>MAX(C60:D60)</f>
        <v>2.0590000000000002</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0.48</v>
      </c>
      <c r="D62" s="49">
        <f t="shared" si="11"/>
        <v>0.04</v>
      </c>
      <c r="E62" s="49">
        <f>MAX(C62:D62)</f>
        <v>0.48</v>
      </c>
      <c r="G62" s="1" t="str">
        <f>G56</f>
        <v>per 100 referrals</v>
      </c>
      <c r="L62" s="58">
        <f>IF(($E56&gt;0),L56,L55)</f>
        <v>100</v>
      </c>
      <c r="M62" s="58"/>
    </row>
    <row r="63" spans="2:18" ht="15" hidden="1" customHeight="1">
      <c r="B63" s="49" t="str">
        <f>IF(($E57&gt;0),B57,B55)</f>
        <v>per 100 youth petitioned</v>
      </c>
      <c r="C63" s="49">
        <f>IF(($E57&gt;0),C57,C56)</f>
        <v>0.27</v>
      </c>
      <c r="D63" s="49">
        <f>IF(($E57&gt;0),D57,D56)</f>
        <v>0.04</v>
      </c>
      <c r="E63" s="49">
        <f>MAX(C63:D63)</f>
        <v>0.27</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0.03</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2.0590000000000002</v>
      </c>
      <c r="D66" s="56">
        <f>D60</f>
        <v>3.2000000000000001E-2</v>
      </c>
      <c r="E66" s="56">
        <f>MAX(C66:D66)</f>
        <v>2.0590000000000002</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0.48</v>
      </c>
      <c r="D68" s="49">
        <f t="shared" si="12"/>
        <v>0.04</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0.04</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0.03</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2059</v>
      </c>
      <c r="D6" s="34"/>
      <c r="E6" s="33">
        <f>'Data Entry'!F6</f>
        <v>27</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0.97134531325886342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27</v>
      </c>
      <c r="P7" s="42">
        <f t="shared" ref="P7:P15" si="4">C7</f>
        <v>2</v>
      </c>
      <c r="Q7" s="42">
        <f>C6-C7</f>
        <v>2057</v>
      </c>
      <c r="R7" s="42">
        <f t="shared" ref="R7:R15" si="5">SUM(N7:Q7)</f>
        <v>2086</v>
      </c>
      <c r="S7" s="30">
        <f t="shared" ref="S7:S15" si="6">R7*((((N7*Q7)-(O7*P7))^2))</f>
        <v>6082776</v>
      </c>
      <c r="T7" s="30">
        <f t="shared" ref="T7:T15" si="7">(N7+O7)*(P7+Q7)*(N7+P7)*(O7+Q7)</f>
        <v>231711624</v>
      </c>
      <c r="U7" s="31">
        <f t="shared" ref="U7:U15" si="8">IF((S7&gt;0),S7/T7,"- -")</f>
        <v>2.6251492674359746E-2</v>
      </c>
    </row>
    <row r="8" spans="2:21" ht="18" customHeight="1">
      <c r="B8" s="32" t="str">
        <f>'Data Entry'!A8</f>
        <v>3. Refer to Juvenile Court</v>
      </c>
      <c r="C8" s="33">
        <f>'Data Entry'!C8</f>
        <v>48</v>
      </c>
      <c r="D8" s="34">
        <f>IF((AND(C67&gt;0,C8&gt;0)),(C8/C67),0)</f>
        <v>2400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48</v>
      </c>
      <c r="Q8" s="42">
        <f>(C$67*L67)-C8</f>
        <v>-46</v>
      </c>
      <c r="R8" s="42">
        <f t="shared" si="5"/>
        <v>2.0499999999999972</v>
      </c>
      <c r="S8" s="30">
        <f t="shared" si="6"/>
        <v>11.807999999999987</v>
      </c>
      <c r="T8" s="30">
        <f t="shared" si="7"/>
        <v>-220.56000000000006</v>
      </c>
      <c r="U8" s="31">
        <f t="shared" si="8"/>
        <v>-5.3536452665941169E-2</v>
      </c>
    </row>
    <row r="9" spans="2:21" ht="18" customHeight="1">
      <c r="B9" s="32" t="str">
        <f>'Data Entry'!A9</f>
        <v xml:space="preserve">4. Cases Diverted </v>
      </c>
      <c r="C9" s="33">
        <f>'Data Entry'!C9</f>
        <v>2</v>
      </c>
      <c r="D9" s="34">
        <f>IF((AND(C68&gt;0,C9&gt;0)),((C9/C68)),0)</f>
        <v>4.166666666666667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46</v>
      </c>
      <c r="R9" s="42">
        <f t="shared" si="5"/>
        <v>48</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4.166666666666667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46</v>
      </c>
      <c r="R10" s="42">
        <f t="shared" si="5"/>
        <v>48</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56.25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21</v>
      </c>
      <c r="R11" s="42">
        <f t="shared" si="5"/>
        <v>48</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70.370370370370367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8</v>
      </c>
      <c r="R12" s="42">
        <f t="shared" si="5"/>
        <v>27</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163.15789473684211</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36.842105263157897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12</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2.0590000000000002</v>
      </c>
      <c r="D42" s="56">
        <f>E6/1000</f>
        <v>2.7E-2</v>
      </c>
      <c r="E42" s="56">
        <f>MAX(C42:D42)</f>
        <v>2.0590000000000002</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0.27</v>
      </c>
      <c r="D45" s="49">
        <f>E11/100</f>
        <v>0</v>
      </c>
      <c r="E45" s="56">
        <f>MAX(C45:D45,0)</f>
        <v>0.27</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2.0590000000000002</v>
      </c>
      <c r="D48" s="56">
        <f>D42</f>
        <v>2.7E-2</v>
      </c>
      <c r="E48" s="56">
        <f>MAX(C48:D48)</f>
        <v>2.0590000000000002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2.0590000000000002</v>
      </c>
      <c r="D54" s="56">
        <f>D48</f>
        <v>2.7E-2</v>
      </c>
      <c r="E54" s="56">
        <f>MAX(C54:D54)</f>
        <v>2.0590000000000002</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2.0590000000000002</v>
      </c>
      <c r="D60" s="56">
        <f>D54</f>
        <v>2.7E-2</v>
      </c>
      <c r="E60" s="56">
        <f>MAX(C60:D60)</f>
        <v>2.0590000000000002</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2.0590000000000002</v>
      </c>
      <c r="D66" s="56">
        <f>D60</f>
        <v>2.7E-2</v>
      </c>
      <c r="E66" s="56">
        <f>MAX(C66:D66)</f>
        <v>2.0590000000000002</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2059</v>
      </c>
      <c r="D6" s="34"/>
      <c r="E6" s="33">
        <f>'Data Entry'!E6</f>
        <v>94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0.97134531325886342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94</v>
      </c>
      <c r="P7" s="42">
        <f t="shared" ref="P7:P15" si="4">C7</f>
        <v>2</v>
      </c>
      <c r="Q7" s="42">
        <f>C6-C7</f>
        <v>2057</v>
      </c>
      <c r="R7" s="42">
        <f t="shared" ref="R7:R15" si="5">SUM(N7:Q7)</f>
        <v>2153</v>
      </c>
      <c r="S7" s="30">
        <f t="shared" ref="S7:S15" si="6">R7*((((N7*Q7)-(O7*P7))^2))</f>
        <v>76095632</v>
      </c>
      <c r="T7" s="30">
        <f t="shared" ref="T7:T15" si="7">(N7+O7)*(P7+Q7)*(N7+P7)*(O7+Q7)</f>
        <v>832634892</v>
      </c>
      <c r="U7" s="31">
        <f t="shared" ref="U7:U15" si="8">IF((S7&gt;0),S7/T7,"- -")</f>
        <v>9.1391356200816051E-2</v>
      </c>
    </row>
    <row r="8" spans="2:21" ht="18" customHeight="1">
      <c r="B8" s="32" t="str">
        <f>'Data Entry'!A8</f>
        <v>3. Refer to Juvenile Court</v>
      </c>
      <c r="C8" s="33">
        <f>'Data Entry'!C8</f>
        <v>48</v>
      </c>
      <c r="D8" s="34">
        <f>IF((AND(C67&gt;0,C8&gt;0)),(C8/C67),0)</f>
        <v>2400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48</v>
      </c>
      <c r="Q8" s="42">
        <f>(C$67*L67)-C8</f>
        <v>-46</v>
      </c>
      <c r="R8" s="42">
        <f t="shared" si="5"/>
        <v>2.0499999999999972</v>
      </c>
      <c r="S8" s="30">
        <f t="shared" si="6"/>
        <v>11.807999999999987</v>
      </c>
      <c r="T8" s="30">
        <f t="shared" si="7"/>
        <v>-220.56000000000006</v>
      </c>
      <c r="U8" s="31">
        <f t="shared" si="8"/>
        <v>-5.3536452665941169E-2</v>
      </c>
    </row>
    <row r="9" spans="2:21" ht="18" customHeight="1">
      <c r="B9" s="32" t="str">
        <f>'Data Entry'!A9</f>
        <v xml:space="preserve">4. Cases Diverted </v>
      </c>
      <c r="C9" s="33">
        <f>'Data Entry'!C9</f>
        <v>2</v>
      </c>
      <c r="D9" s="34">
        <f>IF((AND(C68&gt;0,C9&gt;0)),((C9/C68)),0)</f>
        <v>4.166666666666667</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46</v>
      </c>
      <c r="R9" s="42">
        <f t="shared" si="5"/>
        <v>48</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4.166666666666667</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46</v>
      </c>
      <c r="R10" s="42">
        <f t="shared" si="5"/>
        <v>48</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56.25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21</v>
      </c>
      <c r="R11" s="42">
        <f t="shared" si="5"/>
        <v>48</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70.370370370370367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8</v>
      </c>
      <c r="R12" s="42">
        <f t="shared" si="5"/>
        <v>27</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163.15789473684211</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36.842105263157897</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12</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2.0590000000000002</v>
      </c>
      <c r="D42" s="56">
        <f>E6/1000</f>
        <v>9.4E-2</v>
      </c>
      <c r="E42" s="56">
        <f>MAX(C42:D42)</f>
        <v>2.0590000000000002</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0.27</v>
      </c>
      <c r="D45" s="49">
        <f>E11/100</f>
        <v>0</v>
      </c>
      <c r="E45" s="56">
        <f>MAX(C45:D45,0)</f>
        <v>0.27</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2.0590000000000002</v>
      </c>
      <c r="D48" s="56">
        <f>D42</f>
        <v>9.4E-2</v>
      </c>
      <c r="E48" s="56">
        <f>MAX(C48:D48)</f>
        <v>2.0590000000000002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2.0590000000000002</v>
      </c>
      <c r="D54" s="56">
        <f>D48</f>
        <v>9.4E-2</v>
      </c>
      <c r="E54" s="56">
        <f>MAX(C54:D54)</f>
        <v>2.0590000000000002</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2.0590000000000002</v>
      </c>
      <c r="D60" s="56">
        <f>D54</f>
        <v>9.4E-2</v>
      </c>
      <c r="E60" s="56">
        <f>MAX(C60:D60)</f>
        <v>2.0590000000000002</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2.0590000000000002</v>
      </c>
      <c r="D66" s="56">
        <f>D60</f>
        <v>9.4E-2</v>
      </c>
      <c r="E66" s="56">
        <f>MAX(C66:D66)</f>
        <v>2.0590000000000002</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0.97134531325886342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2057</v>
      </c>
      <c r="R7" s="42">
        <f t="shared" ref="R7:R15" si="5">SUM(N7:Q7)</f>
        <v>2059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48</v>
      </c>
      <c r="D8" s="34">
        <f>IF((AND(C67&gt;0,C8&gt;0)),(C8/C67),0)</f>
        <v>2400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48</v>
      </c>
      <c r="Q8" s="42">
        <f>(C$67*L67)-C8</f>
        <v>-46</v>
      </c>
      <c r="R8" s="42">
        <f t="shared" si="5"/>
        <v>2.0499999999999972</v>
      </c>
      <c r="S8" s="30">
        <f t="shared" si="6"/>
        <v>11.807999999999987</v>
      </c>
      <c r="T8" s="30">
        <f t="shared" si="7"/>
        <v>-220.56000000000006</v>
      </c>
      <c r="U8" s="31">
        <f t="shared" si="8"/>
        <v>-5.3536452665941169E-2</v>
      </c>
    </row>
    <row r="9" spans="2:21" ht="18" customHeight="1">
      <c r="B9" s="32" t="str">
        <f>'Data Entry'!A9</f>
        <v xml:space="preserve">4. Cases Diverted </v>
      </c>
      <c r="C9" s="33">
        <f>'Data Entry'!C9</f>
        <v>2</v>
      </c>
      <c r="D9" s="34">
        <f>IF((AND(C68&gt;0,C9&gt;0)),((C9/C68)),0)</f>
        <v>4.166666666666667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46</v>
      </c>
      <c r="R9" s="42">
        <f t="shared" si="5"/>
        <v>48</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4.166666666666667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46</v>
      </c>
      <c r="R10" s="42">
        <f t="shared" si="5"/>
        <v>48</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56.25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21</v>
      </c>
      <c r="R11" s="42">
        <f t="shared" si="5"/>
        <v>48</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70.370370370370367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8</v>
      </c>
      <c r="R12" s="42">
        <f t="shared" si="5"/>
        <v>27</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163.15789473684211</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36.842105263157897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12</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2.0590000000000002</v>
      </c>
      <c r="D42" s="56">
        <f>E6/1000</f>
        <v>0</v>
      </c>
      <c r="E42" s="56">
        <f>MAX(C42:D42)</f>
        <v>2.0590000000000002</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0.27</v>
      </c>
      <c r="D45" s="49">
        <f>E11/100</f>
        <v>0</v>
      </c>
      <c r="E45" s="56">
        <f>MAX(C45:D45,0)</f>
        <v>0.27</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2.0590000000000002</v>
      </c>
      <c r="D48" s="56">
        <f>D42</f>
        <v>0</v>
      </c>
      <c r="E48" s="56">
        <f>MAX(C48:D48)</f>
        <v>2.0590000000000002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2.0590000000000002</v>
      </c>
      <c r="D54" s="56">
        <f>D48</f>
        <v>0</v>
      </c>
      <c r="E54" s="56">
        <f>MAX(C54:D54)</f>
        <v>2.0590000000000002</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2.0590000000000002</v>
      </c>
      <c r="D60" s="56">
        <f>D54</f>
        <v>0</v>
      </c>
      <c r="E60" s="56">
        <f>MAX(C60:D60)</f>
        <v>2.0590000000000002</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2.0590000000000002</v>
      </c>
      <c r="D66" s="56">
        <f>D60</f>
        <v>0</v>
      </c>
      <c r="E66" s="56">
        <f>MAX(C66:D66)</f>
        <v>2.0590000000000002</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2059</v>
      </c>
      <c r="D6" s="34"/>
      <c r="E6" s="33">
        <f>'Data Entry'!H6</f>
        <v>44</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0.97134531325886342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44</v>
      </c>
      <c r="P7" s="42">
        <f t="shared" ref="P7:P15" si="4">C7</f>
        <v>2</v>
      </c>
      <c r="Q7" s="42">
        <f>C6-C7</f>
        <v>2057</v>
      </c>
      <c r="R7" s="42">
        <f t="shared" ref="R7:R15" si="5">SUM(N7:Q7)</f>
        <v>2103</v>
      </c>
      <c r="S7" s="30">
        <f t="shared" ref="S7:S15" si="6">R7*((((N7*Q7)-(O7*P7))^2))</f>
        <v>16285632</v>
      </c>
      <c r="T7" s="30">
        <f t="shared" ref="T7:T15" si="7">(N7+O7)*(P7+Q7)*(N7+P7)*(O7+Q7)</f>
        <v>380684392</v>
      </c>
      <c r="U7" s="31">
        <f t="shared" ref="U7:U15" si="8">IF((S7&gt;0),S7/T7,"- -")</f>
        <v>4.2779878403840628E-2</v>
      </c>
    </row>
    <row r="8" spans="2:21" ht="18" customHeight="1">
      <c r="B8" s="32" t="str">
        <f>'Data Entry'!A8</f>
        <v>3. Refer to Juvenile Court</v>
      </c>
      <c r="C8" s="33">
        <f>'Data Entry'!C8</f>
        <v>48</v>
      </c>
      <c r="D8" s="34">
        <f>IF((AND(C67&gt;0,C8&gt;0)),(C8/C67),0)</f>
        <v>2400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48</v>
      </c>
      <c r="Q8" s="42">
        <f>(C$67*L67)-C8</f>
        <v>-46</v>
      </c>
      <c r="R8" s="42">
        <f t="shared" si="5"/>
        <v>2.0499999999999972</v>
      </c>
      <c r="S8" s="30">
        <f t="shared" si="6"/>
        <v>11.807999999999987</v>
      </c>
      <c r="T8" s="30">
        <f t="shared" si="7"/>
        <v>-220.56000000000006</v>
      </c>
      <c r="U8" s="31">
        <f t="shared" si="8"/>
        <v>-5.3536452665941169E-2</v>
      </c>
    </row>
    <row r="9" spans="2:21" ht="18" customHeight="1">
      <c r="B9" s="32" t="str">
        <f>'Data Entry'!A9</f>
        <v xml:space="preserve">4. Cases Diverted </v>
      </c>
      <c r="C9" s="33">
        <f>'Data Entry'!C9</f>
        <v>2</v>
      </c>
      <c r="D9" s="34">
        <f>IF((AND(C68&gt;0,C9&gt;0)),((C9/C68)),0)</f>
        <v>4.166666666666667</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46</v>
      </c>
      <c r="R9" s="42">
        <f t="shared" si="5"/>
        <v>48</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4.166666666666667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46</v>
      </c>
      <c r="R10" s="42">
        <f t="shared" si="5"/>
        <v>48</v>
      </c>
      <c r="S10" s="30">
        <f t="shared" si="6"/>
        <v>0</v>
      </c>
      <c r="T10" s="30">
        <f t="shared" si="7"/>
        <v>0</v>
      </c>
      <c r="U10" s="31" t="str">
        <f t="shared" si="8"/>
        <v>- -</v>
      </c>
    </row>
    <row r="11" spans="2:21" ht="18" customHeight="1">
      <c r="B11" s="32" t="str">
        <f>'Data Entry'!A11</f>
        <v>6. Cases Petitioned (Charge Filed)</v>
      </c>
      <c r="C11" s="33">
        <f>'Data Entry'!C11</f>
        <v>27</v>
      </c>
      <c r="D11" s="34">
        <f>IF(((AND(C68&gt;0,C11&gt;0))),(C11/(C68)),0)</f>
        <v>56.25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21</v>
      </c>
      <c r="R11" s="42">
        <f t="shared" si="5"/>
        <v>48</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70.370370370370367</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8</v>
      </c>
      <c r="R12" s="42">
        <f t="shared" si="5"/>
        <v>27</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163.15789473684211</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36.842105263157897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12</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2.0590000000000002</v>
      </c>
      <c r="D42" s="56">
        <f>E6/1000</f>
        <v>4.3999999999999997E-2</v>
      </c>
      <c r="E42" s="56">
        <f>MAX(C42:D42)</f>
        <v>2.0590000000000002</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0.48</v>
      </c>
      <c r="D44" s="56">
        <f>E8/100</f>
        <v>0</v>
      </c>
      <c r="E44" s="56">
        <f>MAX(C44:D44,0)</f>
        <v>0.48</v>
      </c>
      <c r="G44" s="1" t="str">
        <f>B44</f>
        <v>per 100 referrals</v>
      </c>
      <c r="L44" s="57">
        <v>100</v>
      </c>
      <c r="M44" s="57"/>
      <c r="R44" s="49"/>
    </row>
    <row r="45" spans="2:18" ht="15" hidden="1" customHeight="1">
      <c r="B45" s="49" t="s">
        <v>89</v>
      </c>
      <c r="C45" s="49">
        <f>C11/100</f>
        <v>0.27</v>
      </c>
      <c r="D45" s="49">
        <f>E11/100</f>
        <v>0</v>
      </c>
      <c r="E45" s="56">
        <f>MAX(C45:D45,0)</f>
        <v>0.27</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2.0590000000000002</v>
      </c>
      <c r="D48" s="56">
        <f>D42</f>
        <v>4.3999999999999997E-2</v>
      </c>
      <c r="E48" s="56">
        <f>MAX(C48:D48)</f>
        <v>2.0590000000000002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0.48</v>
      </c>
      <c r="D50" s="49">
        <f t="shared" si="9"/>
        <v>0</v>
      </c>
      <c r="E50" s="49">
        <f>MAX(C50:D50)</f>
        <v>0.48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2.0590000000000002</v>
      </c>
      <c r="D54" s="56">
        <f>D48</f>
        <v>4.3999999999999997E-2</v>
      </c>
      <c r="E54" s="56">
        <f>MAX(C54:D54)</f>
        <v>2.0590000000000002</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0.48</v>
      </c>
      <c r="D56" s="49">
        <f t="shared" si="10"/>
        <v>0</v>
      </c>
      <c r="E56" s="49">
        <f>MAX(C56:D56)</f>
        <v>0.48</v>
      </c>
      <c r="G56" s="1" t="str">
        <f>G50</f>
        <v>per 100 referrals</v>
      </c>
      <c r="L56" s="58">
        <f>IF(($E50&gt;0),L50,L49)</f>
        <v>100</v>
      </c>
      <c r="M56" s="58"/>
    </row>
    <row r="57" spans="2:18" ht="15" hidden="1" customHeight="1">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2.0590000000000002</v>
      </c>
      <c r="D60" s="56">
        <f>D54</f>
        <v>4.3999999999999997E-2</v>
      </c>
      <c r="E60" s="56">
        <f>MAX(C60:D60)</f>
        <v>2.0590000000000002</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0.48</v>
      </c>
      <c r="D62" s="49">
        <f t="shared" si="11"/>
        <v>0</v>
      </c>
      <c r="E62" s="49">
        <f>MAX(C62:D62)</f>
        <v>0.48</v>
      </c>
      <c r="G62" s="1" t="str">
        <f>G56</f>
        <v>per 100 referrals</v>
      </c>
      <c r="L62" s="58">
        <f>IF(($E56&gt;0),L56,L55)</f>
        <v>100</v>
      </c>
      <c r="M62" s="58"/>
    </row>
    <row r="63" spans="2:18" ht="15" hidden="1" customHeight="1">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2.0590000000000002</v>
      </c>
      <c r="D66" s="56">
        <f>D60</f>
        <v>4.3999999999999997E-2</v>
      </c>
      <c r="E66" s="56">
        <f>MAX(C66:D66)</f>
        <v>2.0590000000000002</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0.48</v>
      </c>
      <c r="D68" s="49">
        <f t="shared" si="12"/>
        <v>0</v>
      </c>
      <c r="E68" s="49">
        <f>MAX(C68:D68)</f>
        <v>0.48</v>
      </c>
      <c r="G68" s="1" t="str">
        <f>G62</f>
        <v>per 100 referrals</v>
      </c>
      <c r="L68" s="58">
        <f>IF(($E62&gt;0),L62,L61)</f>
        <v>100</v>
      </c>
      <c r="M68" s="58">
        <f>IF((B68=G68),1,2)</f>
        <v>1</v>
      </c>
    </row>
    <row r="69" spans="2:13" ht="15" hidden="1" customHeight="1">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U47JMPN4QEAR-1806752177-35333</_dlc_DocId>
    <_dlc_DocIdUrl xmlns="ac3811b5-0f3e-49e2-ba69-f2ffa0c782af">
      <Url>https://michiganphi.sharepoint.com/sites/CMDMC/_layouts/15/DocIdRedir.aspx?ID=U47JMPN4QEAR-1806752177-35333</Url>
      <Description>U47JMPN4QEAR-1806752177-35333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C832D3-FB45-4B41-A540-BDA16A1FC9B7}"/>
</file>

<file path=customXml/itemProps2.xml><?xml version="1.0" encoding="utf-8"?>
<ds:datastoreItem xmlns:ds="http://schemas.openxmlformats.org/officeDocument/2006/customXml" ds:itemID="{C91F091F-FEA8-4DF5-B4AD-D98EFDEE3F7A}">
  <ds:schemaRefs>
    <ds:schemaRef ds:uri="http://schemas.microsoft.com/sharepoint/v3/contenttype/forms"/>
  </ds:schemaRefs>
</ds:datastoreItem>
</file>

<file path=customXml/itemProps3.xml><?xml version="1.0" encoding="utf-8"?>
<ds:datastoreItem xmlns:ds="http://schemas.openxmlformats.org/officeDocument/2006/customXml" ds:itemID="{F4F27BB4-B4A4-408F-A860-D94F85EC82B4}">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27B59BBD-95EF-4150-B9B9-88C748E6FA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e01e4ba0-d051-49e2-b2cf-7abb0bb136bc</vt:lpwstr>
  </property>
</Properties>
</file>