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7" documentId="6_{10B2D976-B90B-4AD4-A8B5-BAE836E47A83}" xr6:coauthVersionLast="47" xr6:coauthVersionMax="47" xr10:uidLastSave="{E2739B6D-3F42-46FD-AC88-D185DDA62C4E}"/>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s="1"/>
  <c r="G56" i="3" s="1"/>
  <c r="G62" i="3" s="1"/>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52" i="5" s="1"/>
  <c r="G58" i="5" s="1"/>
  <c r="G64" i="5" s="1"/>
  <c r="G70" i="5" s="1"/>
  <c r="G48" i="5"/>
  <c r="G54" i="5"/>
  <c r="G60" i="5" s="1"/>
  <c r="G66" i="5" s="1"/>
  <c r="L48" i="5"/>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4" l="1"/>
  <c r="M66" i="4"/>
  <c r="F27" i="5"/>
  <c r="M66" i="5"/>
  <c r="F27" i="2"/>
  <c r="M66" i="2"/>
  <c r="F27" i="3"/>
  <c r="M66" i="3"/>
  <c r="M66" i="8"/>
  <c r="F27" i="8"/>
  <c r="M66" i="7"/>
  <c r="F27" i="7"/>
  <c r="F27" i="6"/>
  <c r="M66" i="6"/>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3" i="7" l="1"/>
  <c r="C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B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0" i="5" l="1"/>
  <c r="L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E49" i="5" l="1"/>
  <c r="B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C55" i="5"/>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L64" i="3"/>
  <c r="D64" i="5"/>
  <c r="E64" i="5" s="1"/>
  <c r="L56" i="8"/>
  <c r="L64" i="5"/>
  <c r="B56" i="8"/>
  <c r="C57" i="8"/>
  <c r="C64" i="8" s="1"/>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D64" i="8" l="1"/>
  <c r="B64" i="8"/>
  <c r="I7" i="9"/>
  <c r="Q8" i="13"/>
  <c r="C63" i="3"/>
  <c r="E57" i="8"/>
  <c r="B63" i="8" s="1"/>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B70" i="3" l="1"/>
  <c r="M70" i="3" s="1"/>
  <c r="C69" i="7"/>
  <c r="D12" i="7" s="1"/>
  <c r="D70" i="6"/>
  <c r="F13" i="6" s="1"/>
  <c r="C63" i="8"/>
  <c r="C70" i="6"/>
  <c r="D13" i="6" s="1"/>
  <c r="C70" i="3"/>
  <c r="D14" i="3" s="1"/>
  <c r="L63" i="8"/>
  <c r="L70" i="8" s="1"/>
  <c r="E63" i="3"/>
  <c r="C69" i="3" s="1"/>
  <c r="D15" i="3" s="1"/>
  <c r="L69" i="7"/>
  <c r="L70" i="3"/>
  <c r="L70" i="6"/>
  <c r="D63" i="8"/>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F33" i="3" l="1"/>
  <c r="O13" i="6"/>
  <c r="O14" i="6"/>
  <c r="Q13" i="3"/>
  <c r="D15" i="7"/>
  <c r="Q12" i="7"/>
  <c r="B69" i="6"/>
  <c r="M69" i="6" s="1"/>
  <c r="F14" i="6"/>
  <c r="D12" i="3"/>
  <c r="Q14" i="3"/>
  <c r="B69" i="3"/>
  <c r="M69" i="3" s="1"/>
  <c r="L69" i="3"/>
  <c r="Q12" i="3" s="1"/>
  <c r="D13" i="3"/>
  <c r="Q15" i="7"/>
  <c r="Q13" i="8"/>
  <c r="O13" i="3"/>
  <c r="R13" i="3" s="1"/>
  <c r="S13" i="3" s="1"/>
  <c r="U13" i="3" s="1"/>
  <c r="J13" i="3" s="1"/>
  <c r="D14" i="6"/>
  <c r="F14" i="3"/>
  <c r="E69" i="7"/>
  <c r="E63" i="8"/>
  <c r="D69" i="8" s="1"/>
  <c r="F12" i="8" s="1"/>
  <c r="E70" i="6"/>
  <c r="Q13" i="6"/>
  <c r="T13" i="6" s="1"/>
  <c r="Q14" i="6"/>
  <c r="R14" i="6" s="1"/>
  <c r="S14" i="6" s="1"/>
  <c r="D69" i="3"/>
  <c r="E69" i="3" s="1"/>
  <c r="C69" i="6"/>
  <c r="D12" i="6" s="1"/>
  <c r="F12" i="7"/>
  <c r="O12" i="7"/>
  <c r="O15" i="7"/>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M67" i="7"/>
  <c r="D8" i="7"/>
  <c r="T10" i="4"/>
  <c r="K8" i="3"/>
  <c r="Q8" i="7"/>
  <c r="R8" i="7" s="1"/>
  <c r="S8" i="7" s="1"/>
  <c r="M69" i="2"/>
  <c r="K14" i="4"/>
  <c r="K13" i="4"/>
  <c r="Q8" i="6"/>
  <c r="O8" i="6"/>
  <c r="B69" i="8"/>
  <c r="M69" i="8" s="1"/>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T14" i="6"/>
  <c r="T14" i="3"/>
  <c r="F32" i="6"/>
  <c r="O12" i="3"/>
  <c r="R12" i="3" s="1"/>
  <c r="S12" i="3" s="1"/>
  <c r="U12" i="3" s="1"/>
  <c r="J12" i="3" s="1"/>
  <c r="F35" i="6"/>
  <c r="O12" i="6"/>
  <c r="K12" i="7"/>
  <c r="F35" i="3"/>
  <c r="K15" i="7"/>
  <c r="R14" i="8"/>
  <c r="S14" i="8" s="1"/>
  <c r="K14" i="6"/>
  <c r="F32" i="3"/>
  <c r="Q15" i="3"/>
  <c r="R13" i="8"/>
  <c r="S13" i="8" s="1"/>
  <c r="T12" i="7"/>
  <c r="K13" i="3"/>
  <c r="L13" i="3" s="1"/>
  <c r="P14" i="16" s="1"/>
  <c r="T15" i="7"/>
  <c r="F15" i="8"/>
  <c r="D15" i="6"/>
  <c r="L69" i="8"/>
  <c r="O15" i="8" s="1"/>
  <c r="T13" i="3"/>
  <c r="C69" i="8"/>
  <c r="D15" i="8" s="1"/>
  <c r="R13" i="6"/>
  <c r="S13" i="6" s="1"/>
  <c r="U13" i="6" s="1"/>
  <c r="J13" i="6" s="1"/>
  <c r="M13" i="6" s="1"/>
  <c r="G13" i="6" s="1"/>
  <c r="G13" i="9" s="1"/>
  <c r="K13" i="6"/>
  <c r="R14" i="3"/>
  <c r="S14" i="3" s="1"/>
  <c r="U14" i="3" s="1"/>
  <c r="J14" i="3" s="1"/>
  <c r="M14" i="3" s="1"/>
  <c r="G14" i="3" s="1"/>
  <c r="I15" i="16" s="1"/>
  <c r="Q12" i="6"/>
  <c r="Q15" i="6"/>
  <c r="F15" i="3"/>
  <c r="F12" i="3"/>
  <c r="R12" i="7"/>
  <c r="S12" i="7" s="1"/>
  <c r="U12" i="7" s="1"/>
  <c r="J12" i="7" s="1"/>
  <c r="M12" i="7" s="1"/>
  <c r="T13" i="8"/>
  <c r="R15" i="7"/>
  <c r="S15" i="7" s="1"/>
  <c r="U15" i="7" s="1"/>
  <c r="J15" i="7" s="1"/>
  <c r="E69" i="6"/>
  <c r="K14" i="3"/>
  <c r="O15" i="6"/>
  <c r="F15" i="6"/>
  <c r="L13" i="4"/>
  <c r="O14" i="16" s="1"/>
  <c r="L11" i="4"/>
  <c r="O12" i="16" s="1"/>
  <c r="K8" i="7"/>
  <c r="O13" i="2"/>
  <c r="F35" i="8"/>
  <c r="T8" i="7"/>
  <c r="U8" i="7" s="1"/>
  <c r="J8" i="7" s="1"/>
  <c r="M8" i="7" s="1"/>
  <c r="T13" i="7"/>
  <c r="F32" i="8"/>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I12" i="16"/>
  <c r="E11" i="9"/>
  <c r="I12" i="13"/>
  <c r="T14" i="8"/>
  <c r="D13" i="2"/>
  <c r="E70" i="2"/>
  <c r="Q14" i="2"/>
  <c r="K14" i="2" s="1"/>
  <c r="M13" i="4"/>
  <c r="G13" i="4" s="1"/>
  <c r="G14" i="16" s="1"/>
  <c r="L9" i="4"/>
  <c r="O10" i="16" s="1"/>
  <c r="R13" i="7"/>
  <c r="S13" i="7" s="1"/>
  <c r="Q13" i="2"/>
  <c r="U9" i="3"/>
  <c r="J9" i="3" s="1"/>
  <c r="L9" i="3" s="1"/>
  <c r="N30" i="5"/>
  <c r="L14" i="5"/>
  <c r="Q15" i="16" s="1"/>
  <c r="L13" i="5"/>
  <c r="Q14" i="16" s="1"/>
  <c r="L10" i="4"/>
  <c r="O11" i="16" s="1"/>
  <c r="K13" i="7"/>
  <c r="T8" i="2"/>
  <c r="U8" i="2" s="1"/>
  <c r="J8" i="2" s="1"/>
  <c r="M11" i="4"/>
  <c r="G11" i="4" s="1"/>
  <c r="T14" i="7"/>
  <c r="U14" i="7" s="1"/>
  <c r="J14" i="7" s="1"/>
  <c r="K14" i="7"/>
  <c r="M13" i="3"/>
  <c r="G13" i="3" s="1"/>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5" i="3" l="1"/>
  <c r="K12" i="3"/>
  <c r="U13" i="7"/>
  <c r="J13" i="7" s="1"/>
  <c r="M13" i="7" s="1"/>
  <c r="K15" i="3"/>
  <c r="R15" i="3"/>
  <c r="S15" i="3" s="1"/>
  <c r="U15" i="3" s="1"/>
  <c r="J15" i="3" s="1"/>
  <c r="M15" i="3" s="1"/>
  <c r="G15" i="3" s="1"/>
  <c r="I16" i="16" s="1"/>
  <c r="L15" i="7"/>
  <c r="S16" i="16" s="1"/>
  <c r="R12" i="6"/>
  <c r="S12" i="6" s="1"/>
  <c r="U12" i="6" s="1"/>
  <c r="J12" i="6" s="1"/>
  <c r="M12" i="6" s="1"/>
  <c r="G12" i="6" s="1"/>
  <c r="K15" i="6"/>
  <c r="I15" i="13"/>
  <c r="U14" i="8"/>
  <c r="J14" i="8" s="1"/>
  <c r="N30" i="8" s="1"/>
  <c r="U13" i="8"/>
  <c r="J13" i="8" s="1"/>
  <c r="M13" i="8" s="1"/>
  <c r="G13" i="8" s="1"/>
  <c r="K14" i="16" s="1"/>
  <c r="Q12" i="8"/>
  <c r="O12" i="8"/>
  <c r="D12" i="8"/>
  <c r="E69" i="8"/>
  <c r="R15" i="6"/>
  <c r="S15" i="6" s="1"/>
  <c r="U15" i="6" s="1"/>
  <c r="J15" i="6" s="1"/>
  <c r="M15" i="6" s="1"/>
  <c r="G15" i="6" s="1"/>
  <c r="Q15" i="8"/>
  <c r="R15" i="8" s="1"/>
  <c r="S15" i="8" s="1"/>
  <c r="U15" i="8" s="1"/>
  <c r="J15" i="8" s="1"/>
  <c r="T15" i="6"/>
  <c r="K12" i="6"/>
  <c r="T12" i="6"/>
  <c r="E14" i="9"/>
  <c r="N30" i="3"/>
  <c r="L14" i="3"/>
  <c r="P15" i="16" s="1"/>
  <c r="L13" i="6"/>
  <c r="R14" i="16" s="1"/>
  <c r="L12" i="7"/>
  <c r="S13" i="16" s="1"/>
  <c r="M14" i="13"/>
  <c r="M15" i="7"/>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U10" i="13"/>
  <c r="N11" i="9"/>
  <c r="T15" i="5"/>
  <c r="W14" i="13"/>
  <c r="N13" i="9"/>
  <c r="M9" i="3"/>
  <c r="G9" i="3" s="1"/>
  <c r="I10" i="13" s="1"/>
  <c r="I14" i="13"/>
  <c r="I14" i="16"/>
  <c r="G12" i="13"/>
  <c r="G12" i="16"/>
  <c r="N9" i="9"/>
  <c r="P10" i="16"/>
  <c r="M14" i="7"/>
  <c r="N30" i="7"/>
  <c r="L14" i="7"/>
  <c r="S15" i="16" s="1"/>
  <c r="L8" i="7"/>
  <c r="S9" i="16" s="1"/>
  <c r="O13" i="9"/>
  <c r="V14" i="13"/>
  <c r="M9" i="9"/>
  <c r="M10" i="9"/>
  <c r="O14" i="9"/>
  <c r="V10"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L13" i="7" l="1"/>
  <c r="S14" i="16" s="1"/>
  <c r="Q15" i="9"/>
  <c r="I16" i="13"/>
  <c r="E15" i="9"/>
  <c r="L15" i="3"/>
  <c r="P16" i="16" s="1"/>
  <c r="Y16" i="13"/>
  <c r="L12" i="6"/>
  <c r="R13" i="16" s="1"/>
  <c r="L13" i="8"/>
  <c r="T14" i="16" s="1"/>
  <c r="L14" i="8"/>
  <c r="T15" i="16" s="1"/>
  <c r="M14" i="8"/>
  <c r="G14" i="8" s="1"/>
  <c r="K15" i="16" s="1"/>
  <c r="T12" i="8"/>
  <c r="Q14" i="13"/>
  <c r="I13" i="9"/>
  <c r="L15" i="6"/>
  <c r="R16" i="16" s="1"/>
  <c r="K12" i="8"/>
  <c r="R12" i="8"/>
  <c r="S12" i="8" s="1"/>
  <c r="U11" i="7"/>
  <c r="J11" i="7" s="1"/>
  <c r="M11" i="7" s="1"/>
  <c r="N14" i="9"/>
  <c r="Q12" i="9"/>
  <c r="K15" i="8"/>
  <c r="L15" i="8" s="1"/>
  <c r="T16" i="16" s="1"/>
  <c r="T15" i="8"/>
  <c r="U10" i="7"/>
  <c r="J10" i="7" s="1"/>
  <c r="M10" i="7" s="1"/>
  <c r="V15" i="13"/>
  <c r="U14" i="2"/>
  <c r="J14" i="2" s="1"/>
  <c r="M14" i="2" s="1"/>
  <c r="G14" i="2" s="1"/>
  <c r="E15" i="16" s="1"/>
  <c r="U13" i="2"/>
  <c r="J13" i="2" s="1"/>
  <c r="M13" i="2" s="1"/>
  <c r="G13" i="2" s="1"/>
  <c r="E14" i="16" s="1"/>
  <c r="X14" i="13"/>
  <c r="P13" i="9"/>
  <c r="Y13" i="13"/>
  <c r="L8" i="6"/>
  <c r="R9" i="16" s="1"/>
  <c r="L15" i="5"/>
  <c r="Q16" i="16" s="1"/>
  <c r="T9" i="13"/>
  <c r="L8" i="9"/>
  <c r="X15" i="13"/>
  <c r="P14" i="9"/>
  <c r="G8" i="9"/>
  <c r="Q14" i="9"/>
  <c r="Y15" i="13"/>
  <c r="E9" i="13"/>
  <c r="L10" i="2"/>
  <c r="N11" i="16" s="1"/>
  <c r="L11" i="6"/>
  <c r="R12" i="16" s="1"/>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Q13" i="9" l="1"/>
  <c r="Y14" i="13"/>
  <c r="P15" i="9"/>
  <c r="P12" i="9"/>
  <c r="X13" i="13"/>
  <c r="V16" i="13"/>
  <c r="L11" i="7"/>
  <c r="S12" i="16" s="1"/>
  <c r="N15" i="9"/>
  <c r="X16" i="13"/>
  <c r="Z14" i="13"/>
  <c r="R13" i="9"/>
  <c r="U12" i="8"/>
  <c r="J12" i="8" s="1"/>
  <c r="M12" i="8" s="1"/>
  <c r="G12" i="8" s="1"/>
  <c r="K13" i="16" s="1"/>
  <c r="I14" i="9"/>
  <c r="Z15" i="13"/>
  <c r="R14" i="9"/>
  <c r="Q15" i="13"/>
  <c r="L10" i="7"/>
  <c r="S11" i="16" s="1"/>
  <c r="L13" i="2"/>
  <c r="N14" i="16" s="1"/>
  <c r="C14" i="9"/>
  <c r="N30" i="2"/>
  <c r="L14" i="2"/>
  <c r="N15" i="16" s="1"/>
  <c r="E15" i="13"/>
  <c r="C13" i="9"/>
  <c r="E14" i="13"/>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1" i="9" l="1"/>
  <c r="I12" i="9"/>
  <c r="Y12" i="13"/>
  <c r="Q13" i="13"/>
  <c r="L12" i="8"/>
  <c r="T13" i="16" s="1"/>
  <c r="Q10" i="9"/>
  <c r="T14" i="13"/>
  <c r="L13" i="9"/>
  <c r="Y11" i="13"/>
  <c r="T15" i="13"/>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<sst xmlns="http://schemas.openxmlformats.org/spreadsheetml/2006/main" count="654" uniqueCount="141">
  <si>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</si>
  <si>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</si>
  <si>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</si>
  <si>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</si>
  <si>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</si>
  <si>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</si>
  <si>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</si>
  <si>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</si>
  <si>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</si>
  <si>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</si>
  <si>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</si>
  <si>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</si>
  <si>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</si>
  <si>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</si>
  <si>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</si>
  <si>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</si>
  <si>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</si>
  <si>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</si>
  <si>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</si>
  <si>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</si>
  <si>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</si>
  <si>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</si>
  <si>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</si>
  <si>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</si>
  <si>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</si>
  <si>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</si>
  <si>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</si>
  <si>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</si>
  <si>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</si>
  <si>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</si>
  <si>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</si>
  <si>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</si>
  <si>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</si>
  <si>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</si>
  <si>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</si>
  <si>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</si>
  <si>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</si>
  <si>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</si>
  <si>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</si>
  <si>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</si>
  <si>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</si>
  <si>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</si>
  <si>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</si>
  <si>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</si>
  <si>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</si>
  <si>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</si>
  <si>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</si>
  <si>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</si>
  <si>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</si>
  <si>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</si>
  <si>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</si>
  <si>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</si>
  <si>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</si>
  <si>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</si>
  <si>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</si>
  <si>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</si>
  <si>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</si>
  <si>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</si>
  <si>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</si>
  <si>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</si>
  <si>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</si>
  <si>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</si>
  <si>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</si>
  <si>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</si>
  <si>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</si>
  <si>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</si>
  <si>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</si>
  <si>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</si>
  <si>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</si>
  <si>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</si>
  <si>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</si>
  <si>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</si>
  <si>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</si>
  <si>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</si>
  <si>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</si>
  <si>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</si>
  <si>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</si>
  <si>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</si>
  <si>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</si>
  <si>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</si>
  <si>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</si>
  <si>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</si>
  <si>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</si>
  <si>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</si>
  <si>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</si>
  <si>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</si>
  <si>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</si>
  <si>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</si>
  <si>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</si>
  <si>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</si>
  <si>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</si>
  <si>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</si>
  <si>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</si>
  <si>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</si>
  <si>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</si>
  <si>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</si>
  <si>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</si>
  <si>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</si>
  <si>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</si>
  <si>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</si>
  <si>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</si>
  <si>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</si>
  <si>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</si>
  <si>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</si>
  <si>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</si>
  <si>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</si>
  <si>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</si>
  <si>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</si>
  <si>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</si>
  <si>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</si>
  <si>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</si>
  <si>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</si>
  <si>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</si>
  <si>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</si>
  <si>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</si>
  <si>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</si>
  <si>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</si>
  <si>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</si>
  <si>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</si>
  <si>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</si>
  <si>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</si>
  <si>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</si>
  <si>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</si>
  <si>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</si>
  <si>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</si>
  <si>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</si>
  <si>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</si>
  <si>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</si>
  <si>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</si>
  <si>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</si>
  <si>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</si>
  <si>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</si>
  <si>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</si>
  <si>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</si>
  <si>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</si>
  <si>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</si>
  <si>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Charlevoix</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</si>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</sst>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Charlevoix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N=13</c:v>
                </c:pt>
                <c:pt idx="3">
                  <c:v>Petitions, total N=22</c:v>
                </c:pt>
                <c:pt idx="4">
                  <c:v>Detentions, total N=4</c:v>
                </c:pt>
                <c:pt idx="5">
                  <c:v>Referrals, total N=38</c:v>
                </c:pt>
                <c:pt idx="6">
                  <c:v>Arrests, total N=1</c:v>
                </c:pt>
                <c:pt idx="7">
                  <c:v>Population, total N=2337</c:v>
                </c:pt>
              </c:strCache>
            </c:strRef>
          </c:cat>
          <c:val>
            <c:numRef>
              <c:f>'Stacked 100%'!$B$7:$B$14</c:f>
              <c:numCache>
                <c:formatCode>0%</c:formatCode>
                <c:ptCount val="8"/>
                <c:pt idx="0">
                  <c:v>0</c:v>
                </c:pt>
                <c:pt idx="1">
                  <c:v>0</c:v>
                </c:pt>
                <c:pt idx="2">
                  <c:v>0</c:v>
                </c:pt>
                <c:pt idx="3">
                  <c:v>0</c:v>
                </c:pt>
                <c:pt idx="4">
                  <c:v>0</c:v>
                </c:pt>
                <c:pt idx="5">
                  <c:v>0</c:v>
                </c:pt>
                <c:pt idx="6">
                  <c:v>0</c:v>
                </c:pt>
                <c:pt idx="7">
                  <c:v>1.0269576379974325E-2</c:v>
                </c:pt>
              </c:numCache>
            </c:numRef>
          </c:val>
          <c:extLst>
            <c:ext xmlns:c16="http://schemas.microsoft.com/office/drawing/2014/chart" uri="{C3380CC4-5D6E-409C-BE32-E72D297353CC}">
              <c16:uniqueId val="{00000000-A879-4045-A8BD-BD67AE6B535C}"/>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N=13</c:v>
                </c:pt>
                <c:pt idx="3">
                  <c:v>Petitions, total N=22</c:v>
                </c:pt>
                <c:pt idx="4">
                  <c:v>Detentions, total N=4</c:v>
                </c:pt>
                <c:pt idx="5">
                  <c:v>Referrals, total N=38</c:v>
                </c:pt>
                <c:pt idx="6">
                  <c:v>Arrests, total N=1</c:v>
                </c:pt>
                <c:pt idx="7">
                  <c:v>Population, total N=2337</c:v>
                </c:pt>
              </c:strCache>
            </c:strRef>
          </c:cat>
          <c:val>
            <c:numRef>
              <c:f>'Stacked 100%'!$C$7:$C$14</c:f>
              <c:numCache>
                <c:formatCode>0%</c:formatCode>
                <c:ptCount val="8"/>
                <c:pt idx="0">
                  <c:v>0</c:v>
                </c:pt>
                <c:pt idx="1">
                  <c:v>0</c:v>
                </c:pt>
                <c:pt idx="2">
                  <c:v>0</c:v>
                </c:pt>
                <c:pt idx="3">
                  <c:v>0</c:v>
                </c:pt>
                <c:pt idx="4">
                  <c:v>0</c:v>
                </c:pt>
                <c:pt idx="5">
                  <c:v>0</c:v>
                </c:pt>
                <c:pt idx="6">
                  <c:v>0</c:v>
                </c:pt>
                <c:pt idx="7">
                  <c:v>3.5515618314077881E-2</c:v>
                </c:pt>
              </c:numCache>
            </c:numRef>
          </c:val>
          <c:extLst>
            <c:ext xmlns:c16="http://schemas.microsoft.com/office/drawing/2014/chart" uri="{C3380CC4-5D6E-409C-BE32-E72D297353CC}">
              <c16:uniqueId val="{00000001-A879-4045-A8BD-BD67AE6B535C}"/>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N=5</c:v>
                </c:pt>
                <c:pt idx="2">
                  <c:v>Delinquent Findings, total N=13</c:v>
                </c:pt>
                <c:pt idx="3">
                  <c:v>Petitions, total N=22</c:v>
                </c:pt>
                <c:pt idx="4">
                  <c:v>Detentions, total N=4</c:v>
                </c:pt>
                <c:pt idx="5">
                  <c:v>Referrals, total N=38</c:v>
                </c:pt>
                <c:pt idx="6">
                  <c:v>Arrests, total N=1</c:v>
                </c:pt>
                <c:pt idx="7">
                  <c:v>Population, total N=2337</c:v>
                </c:pt>
              </c:strCache>
            </c:strRef>
          </c:cat>
          <c:val>
            <c:numRef>
              <c:f>'Stacked 100%'!$H$7:$H$14</c:f>
              <c:numCache>
                <c:formatCode>0%</c:formatCode>
                <c:ptCount val="8"/>
                <c:pt idx="0">
                  <c:v>0</c:v>
                </c:pt>
                <c:pt idx="1">
                  <c:v>0</c:v>
                </c:pt>
                <c:pt idx="2">
                  <c:v>0</c:v>
                </c:pt>
                <c:pt idx="3">
                  <c:v>0</c:v>
                </c:pt>
                <c:pt idx="4">
                  <c:v>0</c:v>
                </c:pt>
                <c:pt idx="5">
                  <c:v>0</c:v>
                </c:pt>
                <c:pt idx="6">
                  <c:v>0</c:v>
                </c:pt>
                <c:pt idx="7">
                  <c:v>1.1352049200513625E-5</c:v>
                </c:pt>
              </c:numCache>
            </c:numRef>
          </c:val>
          <c:extLst>
            <c:ext xmlns:c16="http://schemas.microsoft.com/office/drawing/2014/chart" uri="{C3380CC4-5D6E-409C-BE32-E72D297353CC}">
              <c16:uniqueId val="{00000002-A879-4045-A8BD-BD67AE6B535C}"/>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N=5</c:v>
                </c:pt>
                <c:pt idx="2">
                  <c:v>Delinquent Findings, total N=13</c:v>
                </c:pt>
                <c:pt idx="3">
                  <c:v>Petitions, total N=22</c:v>
                </c:pt>
                <c:pt idx="4">
                  <c:v>Detentions, total N=4</c:v>
                </c:pt>
                <c:pt idx="5">
                  <c:v>Referrals, total N=38</c:v>
                </c:pt>
                <c:pt idx="6">
                  <c:v>Arrests, total N=1</c:v>
                </c:pt>
                <c:pt idx="7">
                  <c:v>Population, total N=2337</c:v>
                </c:pt>
              </c:strCache>
            </c:strRef>
          </c:cat>
          <c:val>
            <c:numRef>
              <c:f>'Stacked 100%'!$I$7:$I$14</c:f>
              <c:numCache>
                <c:formatCode>0%</c:formatCode>
                <c:ptCount val="8"/>
                <c:pt idx="0">
                  <c:v>0</c:v>
                </c:pt>
                <c:pt idx="1">
                  <c:v>1</c:v>
                </c:pt>
                <c:pt idx="2">
                  <c:v>1</c:v>
                </c:pt>
                <c:pt idx="3">
                  <c:v>1</c:v>
                </c:pt>
                <c:pt idx="4">
                  <c:v>1</c:v>
                </c:pt>
                <c:pt idx="5">
                  <c:v>1</c:v>
                </c:pt>
                <c:pt idx="6">
                  <c:v>1</c:v>
                </c:pt>
                <c:pt idx="7">
                  <c:v>0.92768506632434744</c:v>
                </c:pt>
              </c:numCache>
            </c:numRef>
          </c:val>
          <c:extLst>
            <c:ext xmlns:c16="http://schemas.microsoft.com/office/drawing/2014/chart" uri="{C3380CC4-5D6E-409C-BE32-E72D297353CC}">
              <c16:uniqueId val="{00000003-A879-4045-A8BD-BD67AE6B535C}"/>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N=5</c:v>
                </c:pt>
                <c:pt idx="2">
                  <c:v>Delinquent Findings, total N=13</c:v>
                </c:pt>
                <c:pt idx="3">
                  <c:v>Petitions, total N=22</c:v>
                </c:pt>
                <c:pt idx="4">
                  <c:v>Detentions, total N=4</c:v>
                </c:pt>
                <c:pt idx="5">
                  <c:v>Referrals, total N=38</c:v>
                </c:pt>
                <c:pt idx="6">
                  <c:v>Arrests, total N=1</c:v>
                </c:pt>
                <c:pt idx="7">
                  <c:v>Population, total N=2337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A879-4045-A8BD-BD67AE6B535C}"/>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C15" sqref="C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2337</v>
      </c>
      <c r="C6" s="11">
        <v>2168</v>
      </c>
      <c r="D6" s="11">
        <v>24</v>
      </c>
      <c r="E6" s="11">
        <v>83</v>
      </c>
      <c r="F6" s="11">
        <v>31</v>
      </c>
      <c r="G6" s="11"/>
      <c r="H6" s="11">
        <v>31</v>
      </c>
      <c r="I6" s="11"/>
      <c r="J6" s="91">
        <f>SUM(D6:I6)</f>
        <v>169</v>
      </c>
      <c r="K6" s="92"/>
    </row>
    <row r="7" spans="1:11" ht="15.75" customHeight="1" thickBot="1">
      <c r="A7" s="10" t="s">
        <v>8</v>
      </c>
      <c r="B7" s="11">
        <f t="shared" ref="B7:B15" si="0">SUM(C7:I7)+K7</f>
        <v>1</v>
      </c>
      <c r="C7" s="11">
        <v>1</v>
      </c>
      <c r="D7" s="11"/>
      <c r="E7" s="11"/>
      <c r="F7" s="11"/>
      <c r="G7" s="11"/>
      <c r="H7" s="11"/>
      <c r="I7" s="11"/>
      <c r="J7" s="91">
        <f t="shared" ref="J7:J15" si="1">SUM(D7:I7)</f>
        <v>0</v>
      </c>
      <c r="K7" s="92"/>
    </row>
    <row r="8" spans="1:11" ht="15.75" customHeight="1" thickBot="1">
      <c r="A8" s="10" t="s">
        <v>9</v>
      </c>
      <c r="B8" s="11">
        <f t="shared" si="0"/>
        <v>38</v>
      </c>
      <c r="C8" s="11">
        <v>38</v>
      </c>
      <c r="D8" s="11"/>
      <c r="E8" s="11"/>
      <c r="F8" s="11"/>
      <c r="G8" s="11"/>
      <c r="H8" s="11"/>
      <c r="I8" s="11"/>
      <c r="J8" s="91">
        <f t="shared" si="1"/>
        <v>0</v>
      </c>
      <c r="K8" s="92"/>
    </row>
    <row r="9" spans="1:11" ht="15.75" customHeight="1" thickBot="1">
      <c r="A9" s="10" t="s">
        <v>10</v>
      </c>
      <c r="B9" s="11">
        <f t="shared" si="0"/>
        <v>5</v>
      </c>
      <c r="C9" s="11">
        <v>5</v>
      </c>
      <c r="D9" s="11"/>
      <c r="E9" s="11"/>
      <c r="F9" s="11"/>
      <c r="G9" s="11"/>
      <c r="H9" s="11"/>
      <c r="I9" s="11"/>
      <c r="J9" s="91">
        <f t="shared" si="1"/>
        <v>0</v>
      </c>
      <c r="K9" s="92"/>
    </row>
    <row r="10" spans="1:11" ht="15.75" customHeight="1" thickBot="1">
      <c r="A10" s="10" t="s">
        <v>11</v>
      </c>
      <c r="B10" s="11">
        <f t="shared" si="0"/>
        <v>4</v>
      </c>
      <c r="C10" s="11">
        <v>4</v>
      </c>
      <c r="D10" s="11"/>
      <c r="E10" s="11"/>
      <c r="F10" s="11"/>
      <c r="G10" s="11"/>
      <c r="H10" s="11"/>
      <c r="I10" s="11"/>
      <c r="J10" s="91">
        <f t="shared" si="1"/>
        <v>0</v>
      </c>
      <c r="K10" s="92"/>
    </row>
    <row r="11" spans="1:11" ht="15.75" customHeight="1" thickBot="1">
      <c r="A11" s="10" t="s">
        <v>12</v>
      </c>
      <c r="B11" s="11">
        <f t="shared" si="0"/>
        <v>22</v>
      </c>
      <c r="C11" s="11">
        <v>22</v>
      </c>
      <c r="D11" s="11"/>
      <c r="E11" s="11"/>
      <c r="F11" s="11"/>
      <c r="G11" s="11"/>
      <c r="H11" s="11"/>
      <c r="I11" s="11"/>
      <c r="J11" s="91">
        <f t="shared" si="1"/>
        <v>0</v>
      </c>
      <c r="K11" s="92"/>
    </row>
    <row r="12" spans="1:11" ht="15.75" customHeight="1" thickBot="1">
      <c r="A12" s="10" t="s">
        <v>13</v>
      </c>
      <c r="B12" s="11">
        <f t="shared" si="0"/>
        <v>13</v>
      </c>
      <c r="C12" s="11">
        <v>13</v>
      </c>
      <c r="D12" s="11"/>
      <c r="E12" s="11"/>
      <c r="F12" s="11"/>
      <c r="G12" s="11"/>
      <c r="H12" s="11"/>
      <c r="I12" s="11"/>
      <c r="J12" s="91">
        <f t="shared" si="1"/>
        <v>0</v>
      </c>
      <c r="K12" s="92"/>
    </row>
    <row r="13" spans="1:11" ht="15.75" customHeight="1" thickBot="1">
      <c r="A13" s="10" t="s">
        <v>133</v>
      </c>
      <c r="B13" s="11">
        <f t="shared" si="0"/>
        <v>31</v>
      </c>
      <c r="C13" s="11">
        <v>31</v>
      </c>
      <c r="D13" s="11"/>
      <c r="E13" s="11"/>
      <c r="F13" s="11"/>
      <c r="G13" s="11"/>
      <c r="H13" s="11"/>
      <c r="I13" s="11"/>
      <c r="J13" s="91">
        <f t="shared" si="1"/>
        <v>0</v>
      </c>
      <c r="K13" s="92"/>
    </row>
    <row r="14" spans="1:11" ht="26.25" customHeight="1" thickBot="1">
      <c r="A14" s="10" t="s">
        <v>123</v>
      </c>
      <c r="B14" s="11">
        <f t="shared" si="0"/>
        <v>5</v>
      </c>
      <c r="C14" s="11">
        <v>5</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2168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0.46125461254612543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2167</v>
      </c>
      <c r="R7" s="42">
        <f t="shared" ref="R7:R15" si="5">SUM(N7:Q7)</f>
        <v>2168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38</v>
      </c>
      <c r="D8" s="34">
        <f>IF((AND(C67&gt;0,C8&gt;0)),(C8/C67),0)</f>
        <v>3800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38</v>
      </c>
      <c r="Q8" s="42">
        <f>(C$67*L67)-C8</f>
        <v>-37</v>
      </c>
      <c r="R8" s="42">
        <f t="shared" si="5"/>
        <v>1.0499999999999972</v>
      </c>
      <c r="S8" s="30">
        <f t="shared" si="6"/>
        <v>3.79049999999999</v>
      </c>
      <c r="T8" s="30">
        <f t="shared" si="7"/>
        <v>-70.205000000000013</v>
      </c>
      <c r="U8" s="31">
        <f t="shared" si="8"/>
        <v>-5.399188092016223E-2</v>
      </c>
    </row>
    <row r="9" spans="2:21" ht="18" customHeight="1">
      <c r="B9" s="32" t="str">
        <f>'Data Entry'!A9</f>
        <v xml:space="preserve">4. Cases Diverted </v>
      </c>
      <c r="C9" s="33">
        <f>'Data Entry'!C9</f>
        <v>5</v>
      </c>
      <c r="D9" s="34">
        <f>IF((AND(C68&gt;0,C9&gt;0)),((C9/C68)),0)</f>
        <v>13.157894736842104</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33</v>
      </c>
      <c r="R9" s="42">
        <f t="shared" si="5"/>
        <v>38</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10.526315789473685</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34</v>
      </c>
      <c r="R10" s="42">
        <f t="shared" si="5"/>
        <v>38</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57.89473684210526</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16</v>
      </c>
      <c r="R11" s="42">
        <f t="shared" si="5"/>
        <v>38</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59.090909090909093</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238.46153846153845</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-18</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2.1680000000000001</v>
      </c>
      <c r="D42" s="56">
        <f>E6/1000</f>
        <v>0</v>
      </c>
      <c r="E42" s="56">
        <f>MAX(C42:D42)</f>
        <v>2.1680000000000001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0.38</v>
      </c>
      <c r="D44" s="56">
        <f>E8/100</f>
        <v>0</v>
      </c>
      <c r="E44" s="56">
        <f>MAX(C44:D44,0)</f>
        <v>0.38</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2.1680000000000001</v>
      </c>
      <c r="D48" s="56">
        <f>D42</f>
        <v>0</v>
      </c>
      <c r="E48" s="56">
        <f>MAX(C48:D48)</f>
        <v>2.1680000000000001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0.38</v>
      </c>
      <c r="D50" s="49">
        <f t="shared" si="9"/>
        <v>0</v>
      </c>
      <c r="E50" s="49">
        <f>MAX(C50:D50)</f>
        <v>0.38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2.1680000000000001</v>
      </c>
      <c r="D54" s="56">
        <f>D48</f>
        <v>0</v>
      </c>
      <c r="E54" s="56">
        <f>MAX(C54:D54)</f>
        <v>2.1680000000000001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0.38</v>
      </c>
      <c r="D56" s="49">
        <f t="shared" si="10"/>
        <v>0</v>
      </c>
      <c r="E56" s="49">
        <f>MAX(C56:D56)</f>
        <v>0.38</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2.1680000000000001</v>
      </c>
      <c r="D60" s="56">
        <f>D54</f>
        <v>0</v>
      </c>
      <c r="E60" s="56">
        <f>MAX(C60:D60)</f>
        <v>2.1680000000000001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0.38</v>
      </c>
      <c r="D62" s="49">
        <f t="shared" si="11"/>
        <v>0</v>
      </c>
      <c r="E62" s="49">
        <f>MAX(C62:D62)</f>
        <v>0.38</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2.1680000000000001</v>
      </c>
      <c r="D66" s="56">
        <f>D60</f>
        <v>0</v>
      </c>
      <c r="E66" s="56">
        <f>MAX(C66:D66)</f>
        <v>2.1680000000000001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0.38</v>
      </c>
      <c r="D68" s="49">
        <f t="shared" si="12"/>
        <v>0</v>
      </c>
      <c r="E68" s="49">
        <f>MAX(C68:D68)</f>
        <v>0.38</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2168</v>
      </c>
      <c r="D6" s="34"/>
      <c r="E6" s="33">
        <f>'Data Entry'!J6</f>
        <v>169</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0.46125461254612543</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169</v>
      </c>
      <c r="P7" s="42">
        <f t="shared" ref="P7:P15" si="4">C7</f>
        <v>1</v>
      </c>
      <c r="Q7" s="42">
        <f>C6-C7</f>
        <v>2167</v>
      </c>
      <c r="R7" s="42">
        <f t="shared" ref="R7:R15" si="5">SUM(N7:Q7)</f>
        <v>2337</v>
      </c>
      <c r="S7" s="30">
        <f t="shared" ref="S7:S15" si="6">R7*((((N7*Q7)-(O7*P7))^2))</f>
        <v>66747057</v>
      </c>
      <c r="T7" s="30">
        <f t="shared" ref="T7:T15" si="7">(N7+O7)*(P7+Q7)*(N7+P7)*(O7+Q7)</f>
        <v>855891712</v>
      </c>
      <c r="U7" s="31">
        <f t="shared" ref="U7:U15" si="8">IF((S7&gt;0),S7/T7,"- -")</f>
        <v>7.7985399395946009E-2</v>
      </c>
    </row>
    <row r="8" spans="2:21" ht="18" customHeight="1">
      <c r="B8" s="32" t="str">
        <f>'Data Entry'!A8</f>
        <v>3. Refer to Juvenile Court</v>
      </c>
      <c r="C8" s="33">
        <f>'Data Entry'!C8</f>
        <v>38</v>
      </c>
      <c r="D8" s="34">
        <f>IF((AND(C67&gt;0,C8&gt;0)),(C8/C67),0)</f>
        <v>3800</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38</v>
      </c>
      <c r="Q8" s="42">
        <f>(C$67*L67)-C8</f>
        <v>-37</v>
      </c>
      <c r="R8" s="42">
        <f t="shared" si="5"/>
        <v>1.0499999999999972</v>
      </c>
      <c r="S8" s="30">
        <f t="shared" si="6"/>
        <v>3.79049999999999</v>
      </c>
      <c r="T8" s="30">
        <f t="shared" si="7"/>
        <v>-70.205000000000013</v>
      </c>
      <c r="U8" s="31">
        <f t="shared" si="8"/>
        <v>-5.399188092016223E-2</v>
      </c>
    </row>
    <row r="9" spans="2:21" ht="18" customHeight="1">
      <c r="B9" s="32" t="str">
        <f>'Data Entry'!A9</f>
        <v xml:space="preserve">4. Cases Diverted </v>
      </c>
      <c r="C9" s="33">
        <f>'Data Entry'!C9</f>
        <v>5</v>
      </c>
      <c r="D9" s="34">
        <f>IF((AND(C68&gt;0,C9&gt;0)),((C9/C68)),0)</f>
        <v>13.157894736842104</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33</v>
      </c>
      <c r="R9" s="42">
        <f t="shared" si="5"/>
        <v>38</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10.526315789473685</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34</v>
      </c>
      <c r="R10" s="42">
        <f t="shared" si="5"/>
        <v>38</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57.89473684210526</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16</v>
      </c>
      <c r="R11" s="42">
        <f t="shared" si="5"/>
        <v>38</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59.090909090909093</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238.46153846153845</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-18</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2.1680000000000001</v>
      </c>
      <c r="D42" s="56">
        <f>E6/1000</f>
        <v>0.16900000000000001</v>
      </c>
      <c r="E42" s="56">
        <f>MAX(C42:D42)</f>
        <v>2.1680000000000001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0.38</v>
      </c>
      <c r="D44" s="56">
        <f>E8/100</f>
        <v>0</v>
      </c>
      <c r="E44" s="56">
        <f>MAX(C44:D44,0)</f>
        <v>0.38</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2.1680000000000001</v>
      </c>
      <c r="D48" s="56">
        <f>D42</f>
        <v>0.16900000000000001</v>
      </c>
      <c r="E48" s="56">
        <f>MAX(C48:D48)</f>
        <v>2.1680000000000001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0.38</v>
      </c>
      <c r="D50" s="49">
        <f t="shared" si="9"/>
        <v>0</v>
      </c>
      <c r="E50" s="49">
        <f>MAX(C50:D50)</f>
        <v>0.38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2.1680000000000001</v>
      </c>
      <c r="D54" s="56">
        <f>D48</f>
        <v>0.16900000000000001</v>
      </c>
      <c r="E54" s="56">
        <f>MAX(C54:D54)</f>
        <v>2.1680000000000001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0.38</v>
      </c>
      <c r="D56" s="49">
        <f t="shared" si="10"/>
        <v>0</v>
      </c>
      <c r="E56" s="49">
        <f>MAX(C56:D56)</f>
        <v>0.38</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2.1680000000000001</v>
      </c>
      <c r="D60" s="56">
        <f>D54</f>
        <v>0.16900000000000001</v>
      </c>
      <c r="E60" s="56">
        <f>MAX(C60:D60)</f>
        <v>2.1680000000000001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0.38</v>
      </c>
      <c r="D62" s="49">
        <f t="shared" si="11"/>
        <v>0</v>
      </c>
      <c r="E62" s="49">
        <f>MAX(C62:D62)</f>
        <v>0.38</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2.1680000000000001</v>
      </c>
      <c r="D66" s="56">
        <f>D60</f>
        <v>0.16900000000000001</v>
      </c>
      <c r="E66" s="56">
        <f>MAX(C66:D66)</f>
        <v>2.1680000000000001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0.38</v>
      </c>
      <c r="D68" s="49">
        <f t="shared" si="12"/>
        <v>0</v>
      </c>
      <c r="E68" s="49">
        <f>MAX(C68:D68)</f>
        <v>0.38</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Charlevoix</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40</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40</v>
      </c>
      <c r="O8" s="1">
        <f>Hawaiian!L8</f>
        <v>139</v>
      </c>
      <c r="P8" s="1">
        <f>'Am Indian'!L8</f>
        <v>40</v>
      </c>
      <c r="Q8" s="1">
        <f>'Other - Mixed'!L8</f>
        <v>139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2337</v>
      </c>
      <c r="D3" s="57">
        <f>'Data Entry'!C6</f>
        <v>2168</v>
      </c>
      <c r="E3" s="57">
        <f>'Data Entry'!D6</f>
        <v>24</v>
      </c>
      <c r="F3" s="57">
        <f>'Data Entry'!E6</f>
        <v>83</v>
      </c>
      <c r="G3" s="57">
        <f>'Data Entry'!F6</f>
        <v>31</v>
      </c>
      <c r="H3" s="57">
        <f>'Data Entry'!G6</f>
        <v>0</v>
      </c>
      <c r="I3" s="57">
        <f>'Data Entry'!H6</f>
        <v>31</v>
      </c>
      <c r="J3" s="57">
        <f>'Data Entry'!I6</f>
        <v>0</v>
      </c>
      <c r="K3" s="57">
        <f>'Data Entry'!J6</f>
        <v>169</v>
      </c>
    </row>
    <row r="4" spans="2:11" ht="15" customHeight="1">
      <c r="B4" s="16" t="s">
        <v>8</v>
      </c>
      <c r="C4" s="1">
        <f>IF((C$3&gt;0),(1000*('Data Entry'!B7/'Data Entry'!B$6)), 0)</f>
        <v>0.42789901583226359</v>
      </c>
      <c r="D4" s="1">
        <f>IF((D$3&gt;0),(1000*('Data Entry'!C7/'Data Entry'!C$6)), 0)</f>
        <v>0.46125461254612543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16.260162601626018</v>
      </c>
      <c r="D5" s="1">
        <f>IF((D$3&gt;0),(1000*('Data Entry'!C8/'Data Entry'!C$6)), 0)</f>
        <v>17.527675276752767</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2.1394950791613181</v>
      </c>
      <c r="D6" s="1">
        <f>IF((D$3&gt;0),(1000*('Data Entry'!C9/'Data Entry'!C$6)), 0)</f>
        <v>2.3062730627306274</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1.7115960633290543</v>
      </c>
      <c r="D7" s="1">
        <f>IF((D$3&gt;0),(1000*('Data Entry'!C10/'Data Entry'!C$6)), 0)</f>
        <v>1.8450184501845017</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9.4137783483097994</v>
      </c>
      <c r="D8" s="1">
        <f>IF((D$3&gt;0),(1000*('Data Entry'!C11/'Data Entry'!C$6)), 0)</f>
        <v>10.14760147601476</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5.5626872058194268</v>
      </c>
      <c r="D9" s="1">
        <f>IF((D$3&gt;0),(1000*('Data Entry'!C12/'Data Entry'!C$6)), 0)</f>
        <v>5.9963099630996313</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13.264869490800171</v>
      </c>
      <c r="D10" s="1">
        <f>IF((D$3&gt;0),(1000*('Data Entry'!C13/'Data Entry'!C$6)), 0)</f>
        <v>14.298892988929889</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2.1394950791613181</v>
      </c>
      <c r="D11" s="1">
        <f>IF((D$3&gt;0),(1000*('Data Entry'!C14/'Data Entry'!C$6)), 0)</f>
        <v>2.3062730627306274</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Charlevoix</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Charlevoix</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2168</v>
      </c>
      <c r="D7" s="104">
        <f>'Data Entry'!D6</f>
        <v>24</v>
      </c>
      <c r="E7" s="105"/>
      <c r="F7" s="106">
        <f>'Data Entry'!E6</f>
        <v>83</v>
      </c>
      <c r="G7" s="105"/>
      <c r="H7" s="106">
        <f>'Data Entry'!F6</f>
        <v>31</v>
      </c>
      <c r="I7" s="105"/>
      <c r="J7" s="106">
        <f>'Data Entry'!G6</f>
        <v>0</v>
      </c>
      <c r="K7" s="105"/>
      <c r="L7" s="106">
        <f>'Data Entry'!H6</f>
        <v>31</v>
      </c>
      <c r="M7" s="105"/>
      <c r="N7" s="106">
        <f>'Data Entry'!I6</f>
        <v>0</v>
      </c>
      <c r="O7" s="105"/>
      <c r="P7" s="106">
        <f>'Data Entry'!J6</f>
        <v>169</v>
      </c>
      <c r="Q7" s="107"/>
    </row>
    <row r="8" spans="2:26" s="1" customFormat="1" ht="15" customHeight="1">
      <c r="B8" s="142" t="s">
        <v>8</v>
      </c>
      <c r="C8" s="103">
        <f>'Data Entry'!C7</f>
        <v>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40</v>
      </c>
      <c r="W8" s="1" t="e">
        <f>Hawaiian!L7</f>
        <v>#VALUE!</v>
      </c>
      <c r="X8" s="1">
        <f>'Am Indian'!L7</f>
        <v>40</v>
      </c>
      <c r="Y8" s="1" t="e">
        <f>'Other - Mixed'!L7</f>
        <v>#VALUE!</v>
      </c>
      <c r="Z8" s="1">
        <f>'All Minorities'!L7</f>
        <v>40</v>
      </c>
    </row>
    <row r="9" spans="2:26" s="1" customFormat="1" ht="15" customHeight="1">
      <c r="B9" s="142" t="s">
        <v>134</v>
      </c>
      <c r="C9" s="103">
        <f>'Data Entry'!C8</f>
        <v>38</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f>'Black or African-American'!L8</f>
        <v>40</v>
      </c>
      <c r="U9" s="1">
        <f>Hispanic!L8</f>
        <v>40</v>
      </c>
      <c r="V9" s="1">
        <f>Asian!L8</f>
        <v>40</v>
      </c>
      <c r="W9" s="1">
        <f>Hawaiian!L8</f>
        <v>139</v>
      </c>
      <c r="X9" s="1">
        <f>'Am Indian'!L8</f>
        <v>40</v>
      </c>
      <c r="Y9" s="1">
        <f>'Other - Mixed'!L8</f>
        <v>139</v>
      </c>
      <c r="Z9" s="1">
        <f>'All Minorities'!L8</f>
        <v>40</v>
      </c>
    </row>
    <row r="10" spans="2:26" s="1" customFormat="1" ht="15" customHeight="1">
      <c r="B10" s="142" t="s">
        <v>10</v>
      </c>
      <c r="C10" s="103">
        <f>'Data Entry'!C9</f>
        <v>5</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4</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22</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13</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31</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Charlevoix</v>
      </c>
    </row>
    <row r="6" spans="1:12">
      <c r="A6" s="135" t="str">
        <f>CONCATENATE("Percentage of Minorities at Stages of the Juvenile Justice System, ", A5, " 2022")</f>
        <v>Percentage of Minorities at Stages of the Juvenile Justice System, County: Charlevoix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12.828402366863905</v>
      </c>
    </row>
    <row r="8" spans="1:12" ht="25.5" customHeight="1">
      <c r="A8" s="151" t="str">
        <f>CONCATENATE("Confinement, total N=", 'Data Entry'!B14)</f>
        <v>Confinement, total N=5</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N=5</v>
      </c>
      <c r="L8">
        <f>I14/(SUM(B14:G14))</f>
        <v>12.828402366863905</v>
      </c>
    </row>
    <row r="9" spans="1:12">
      <c r="A9" s="128" t="str">
        <f>CONCATENATE("Delinquent Findings, total N=", 'Data Entry'!B12)</f>
        <v>Delinquent Findings, total N=13</v>
      </c>
      <c r="B9" s="150">
        <f>'Data Entry'!D12/'Data Entry'!B12</f>
        <v>0</v>
      </c>
      <c r="C9" s="150">
        <f>'Data Entry'!E12/'Data Entry'!B12</f>
        <v>0</v>
      </c>
      <c r="D9" s="150">
        <f>'Data Entry'!F12/'Data Entry'!B12</f>
        <v>0</v>
      </c>
      <c r="E9" s="150">
        <f>'Data Entry'!G12/'Data Entry'!B12</f>
        <v>0</v>
      </c>
      <c r="F9" s="150">
        <f>'Data Entry'!H12/'Data Entry'!B12</f>
        <v>0</v>
      </c>
      <c r="G9" s="150">
        <f>'Data Entry'!I12/'Data Entry'!B12</f>
        <v>0</v>
      </c>
      <c r="H9" s="150">
        <f>SUM(D9:G9)/'Data Entry'!B12</f>
        <v>0</v>
      </c>
      <c r="I9" s="150">
        <f>'Data Entry'!C12/'Data Entry'!B12</f>
        <v>1</v>
      </c>
      <c r="K9" s="96" t="str">
        <f t="shared" si="0"/>
        <v>Delinquent Findings, total N=13</v>
      </c>
      <c r="L9">
        <f>I14/(SUM(B14:G14))</f>
        <v>12.828402366863905</v>
      </c>
    </row>
    <row r="10" spans="1:12">
      <c r="A10" s="128" t="str">
        <f>CONCATENATE("Petitions, total N=", 'Data Entry'!B11)</f>
        <v>Petitions, total N=22</v>
      </c>
      <c r="B10" s="150">
        <f>'Data Entry'!D11/'Data Entry'!B11</f>
        <v>0</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1</v>
      </c>
      <c r="K10" s="96" t="str">
        <f t="shared" si="0"/>
        <v>Petitions, total N=22</v>
      </c>
      <c r="L10">
        <f>I14/(SUM(B14:G14))</f>
        <v>12.828402366863905</v>
      </c>
    </row>
    <row r="11" spans="1:12">
      <c r="A11" s="128" t="str">
        <f>CONCATENATE("Detentions, total N=", 'Data Entry'!B10)</f>
        <v>Detentions, total N=4</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N=4</v>
      </c>
      <c r="L11">
        <f>I14/(SUM(B14:G14))</f>
        <v>12.828402366863905</v>
      </c>
    </row>
    <row r="12" spans="1:12">
      <c r="A12" s="128" t="str">
        <f>CONCATENATE("Referrals, total N=", 'Data Entry'!B8)</f>
        <v>Referrals, total N=38</v>
      </c>
      <c r="B12" s="150">
        <f>'Data Entry'!D8/'Data Entry'!B8</f>
        <v>0</v>
      </c>
      <c r="C12" s="150">
        <f>'Data Entry'!E8/'Data Entry'!B8</f>
        <v>0</v>
      </c>
      <c r="D12" s="150">
        <f>'Data Entry'!F8/'Data Entry'!B8</f>
        <v>0</v>
      </c>
      <c r="E12" s="150">
        <f>'Data Entry'!G8/'Data Entry'!B8</f>
        <v>0</v>
      </c>
      <c r="F12" s="150">
        <f>'Data Entry'!H8/'Data Entry'!B8</f>
        <v>0</v>
      </c>
      <c r="G12" s="150">
        <f>'Data Entry'!I8/'Data Entry'!B8</f>
        <v>0</v>
      </c>
      <c r="H12" s="150">
        <f>SUM(D12:G12)/'Data Entry'!B8</f>
        <v>0</v>
      </c>
      <c r="I12" s="150">
        <f>'Data Entry'!C8/'Data Entry'!B8</f>
        <v>1</v>
      </c>
      <c r="K12" s="96" t="str">
        <f t="shared" si="0"/>
        <v>Referrals, total N=38</v>
      </c>
      <c r="L12">
        <f>I14/(SUM(B14:G14))</f>
        <v>12.828402366863905</v>
      </c>
    </row>
    <row r="13" spans="1:12">
      <c r="A13" s="128" t="str">
        <f>CONCATENATE("Arrests, total N=", 'Data Entry'!B7)</f>
        <v>Arrests, total N=1</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N=1</v>
      </c>
      <c r="L13">
        <f>I14/(SUM(B14:G14))</f>
        <v>12.828402366863905</v>
      </c>
    </row>
    <row r="14" spans="1:12">
      <c r="A14" s="128" t="str">
        <f>CONCATENATE("Population, total N=", 'Data Entry'!B6)</f>
        <v>Population, total N=2337</v>
      </c>
      <c r="B14" s="150">
        <f>'Data Entry'!D6/'Data Entry'!B6</f>
        <v>1.0269576379974325E-2</v>
      </c>
      <c r="C14" s="150">
        <f>'Data Entry'!E6/'Data Entry'!B6</f>
        <v>3.5515618314077881E-2</v>
      </c>
      <c r="D14" s="150">
        <f>'Data Entry'!F6/'Data Entry'!B6</f>
        <v>1.3264869490800172E-2</v>
      </c>
      <c r="E14" s="150">
        <f>'Data Entry'!G6/'Data Entry'!B6</f>
        <v>0</v>
      </c>
      <c r="F14" s="150">
        <f>'Data Entry'!H6/'Data Entry'!B6</f>
        <v>1.3264869490800172E-2</v>
      </c>
      <c r="G14" s="150">
        <f>'Data Entry'!I6/'Data Entry'!B6</f>
        <v>0</v>
      </c>
      <c r="H14" s="150">
        <f>SUM(D14:G14)/'Data Entry'!B6</f>
        <v>1.1352049200513625E-5</v>
      </c>
      <c r="I14" s="150">
        <f>'Data Entry'!C6/'Data Entry'!B6</f>
        <v>0.92768506632434744</v>
      </c>
      <c r="K14" s="96" t="str">
        <f t="shared" si="0"/>
        <v>Population, total N=2337</v>
      </c>
      <c r="L14">
        <f>I14/(SUM(B14:G14))</f>
        <v>12.828402366863905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Charlevoix</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2168</v>
      </c>
      <c r="D7" s="104">
        <f>'Data Entry'!D6</f>
        <v>24</v>
      </c>
      <c r="E7" s="105"/>
      <c r="F7" s="106">
        <f>'Data Entry'!E6</f>
        <v>83</v>
      </c>
      <c r="G7" s="105"/>
      <c r="H7" s="106">
        <f>'Data Entry'!F6</f>
        <v>31</v>
      </c>
      <c r="I7" s="105"/>
      <c r="J7" s="106">
        <f>'Data Entry'!J6</f>
        <v>169</v>
      </c>
      <c r="K7" s="107"/>
    </row>
    <row r="8" spans="2:30" s="1" customFormat="1" ht="15" customHeight="1">
      <c r="B8" s="121" t="s">
        <v>8</v>
      </c>
      <c r="C8" s="103">
        <f>'Data Entry'!C7</f>
        <v>1</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40</v>
      </c>
      <c r="Q8" s="1" t="e">
        <f>Hawaiian!L7</f>
        <v>#VALUE!</v>
      </c>
      <c r="R8" s="1">
        <f>'Am Indian'!L7</f>
        <v>40</v>
      </c>
      <c r="S8" s="1" t="e">
        <f>'Other - Mixed'!L7</f>
        <v>#VALUE!</v>
      </c>
      <c r="T8" s="1">
        <f>'All Minorities'!L7</f>
        <v>40</v>
      </c>
    </row>
    <row r="9" spans="2:30" s="1" customFormat="1" ht="15" customHeight="1">
      <c r="B9" s="121" t="s">
        <v>134</v>
      </c>
      <c r="C9" s="103">
        <f>'Data Entry'!C8</f>
        <v>38</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f>'Black or African-American'!L8</f>
        <v>40</v>
      </c>
      <c r="O9" s="1">
        <f>Hispanic!L8</f>
        <v>40</v>
      </c>
      <c r="P9" s="1">
        <f>Asian!L8</f>
        <v>40</v>
      </c>
      <c r="Q9" s="1">
        <f>Hawaiian!L8</f>
        <v>139</v>
      </c>
      <c r="R9" s="1">
        <f>'Am Indian'!L8</f>
        <v>40</v>
      </c>
      <c r="S9" s="1">
        <f>'Other - Mixed'!L8</f>
        <v>139</v>
      </c>
      <c r="T9" s="1">
        <f>'All Minorities'!L8</f>
        <v>40</v>
      </c>
    </row>
    <row r="10" spans="2:30" s="1" customFormat="1" ht="15" customHeight="1">
      <c r="B10" s="121" t="s">
        <v>10</v>
      </c>
      <c r="C10" s="103">
        <f>'Data Entry'!C9</f>
        <v>5</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4</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22</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13</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31</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5</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2168</v>
      </c>
      <c r="D6" s="34"/>
      <c r="E6" s="33">
        <f>'Data Entry'!D6</f>
        <v>24</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0.46125461254612543</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24</v>
      </c>
      <c r="P7" s="42">
        <f t="shared" ref="P7:P15" si="2">C7</f>
        <v>1</v>
      </c>
      <c r="Q7" s="42">
        <f>C6-C7</f>
        <v>2167</v>
      </c>
      <c r="R7" s="42">
        <f t="shared" ref="R7:R15" si="3">SUM(N7:Q7)</f>
        <v>2192</v>
      </c>
      <c r="S7" s="30">
        <f t="shared" ref="S7:S15" si="4">R7*((((N7*Q7)-(O7*P7))^2))</f>
        <v>1262592</v>
      </c>
      <c r="T7" s="30">
        <f t="shared" ref="T7:T15" si="5">(N7+O7)*(P7+Q7)*(N7+P7)*(O7+Q7)</f>
        <v>114002112</v>
      </c>
      <c r="U7" s="31">
        <f t="shared" ref="U7:U15" si="6">IF((S7&gt;0),S7/T7,"- -")</f>
        <v>1.1075163239081044E-2</v>
      </c>
    </row>
    <row r="8" spans="2:21" ht="18" customHeight="1">
      <c r="B8" s="32" t="str">
        <f>'Data Entry'!A8</f>
        <v>3. Refer to Juvenile Court</v>
      </c>
      <c r="C8" s="33">
        <f>'Data Entry'!C8</f>
        <v>38</v>
      </c>
      <c r="D8" s="34">
        <f>IF((AND(C67&gt;0,C8&gt;0)),(C8/C67),0)</f>
        <v>3800</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38</v>
      </c>
      <c r="Q8" s="42">
        <f>(C$67*L67)-C8</f>
        <v>-37</v>
      </c>
      <c r="R8" s="42">
        <f t="shared" si="3"/>
        <v>1.0499999999999972</v>
      </c>
      <c r="S8" s="30">
        <f t="shared" si="4"/>
        <v>3.79049999999999</v>
      </c>
      <c r="T8" s="30">
        <f t="shared" si="5"/>
        <v>-70.205000000000013</v>
      </c>
      <c r="U8" s="31">
        <f t="shared" si="6"/>
        <v>-5.399188092016223E-2</v>
      </c>
    </row>
    <row r="9" spans="2:21" ht="18" customHeight="1">
      <c r="B9" s="32" t="str">
        <f>'Data Entry'!A9</f>
        <v xml:space="preserve">4. Cases Diverted </v>
      </c>
      <c r="C9" s="33">
        <f>'Data Entry'!C9</f>
        <v>5</v>
      </c>
      <c r="D9" s="34">
        <f>IF((AND(C68&gt;0,C9&gt;0)),((C9/C68)),0)</f>
        <v>13.157894736842104</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5</v>
      </c>
      <c r="Q9" s="42">
        <f>(C$68*L68)-C9</f>
        <v>33</v>
      </c>
      <c r="R9" s="42">
        <f t="shared" si="3"/>
        <v>38</v>
      </c>
      <c r="S9" s="30">
        <f t="shared" si="4"/>
        <v>0</v>
      </c>
      <c r="T9" s="30">
        <f t="shared" si="5"/>
        <v>0</v>
      </c>
      <c r="U9" s="31" t="str">
        <f t="shared" si="6"/>
        <v>- -</v>
      </c>
    </row>
    <row r="10" spans="2:21" ht="18" customHeight="1">
      <c r="B10" s="32" t="str">
        <f>'Data Entry'!A10</f>
        <v>5. Cases Involving Secure Detention</v>
      </c>
      <c r="C10" s="33">
        <f>'Data Entry'!C10</f>
        <v>4</v>
      </c>
      <c r="D10" s="34">
        <f>IF(((AND(C68&gt;0,C10&gt;0))),(C10/(C68)),0)</f>
        <v>10.526315789473685</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4</v>
      </c>
      <c r="Q10" s="42">
        <f>(C$68*L68)-C10</f>
        <v>34</v>
      </c>
      <c r="R10" s="42">
        <f t="shared" si="3"/>
        <v>38</v>
      </c>
      <c r="S10" s="30">
        <f t="shared" si="4"/>
        <v>0</v>
      </c>
      <c r="T10" s="30">
        <f t="shared" si="5"/>
        <v>0</v>
      </c>
      <c r="U10" s="31" t="str">
        <f t="shared" si="6"/>
        <v>- -</v>
      </c>
    </row>
    <row r="11" spans="2:21" ht="18" customHeight="1">
      <c r="B11" s="32" t="str">
        <f>'Data Entry'!A11</f>
        <v>6. Cases Petitioned (Charge Filed)</v>
      </c>
      <c r="C11" s="33">
        <f>'Data Entry'!C11</f>
        <v>22</v>
      </c>
      <c r="D11" s="34">
        <f>IF(((AND(C68&gt;0,C11&gt;0))),(C11/(C68)),0)</f>
        <v>57.89473684210526</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22</v>
      </c>
      <c r="Q11" s="42">
        <f>(C$68*L68)-C11</f>
        <v>16</v>
      </c>
      <c r="R11" s="42">
        <f t="shared" si="3"/>
        <v>38</v>
      </c>
      <c r="S11" s="30">
        <f t="shared" si="4"/>
        <v>0</v>
      </c>
      <c r="T11" s="30">
        <f t="shared" si="5"/>
        <v>0</v>
      </c>
      <c r="U11" s="31" t="str">
        <f t="shared" si="6"/>
        <v>- -</v>
      </c>
    </row>
    <row r="12" spans="2:21" ht="18" customHeight="1">
      <c r="B12" s="32" t="str">
        <f>'Data Entry'!A12</f>
        <v>7. Cases Resulting in Delinquent Findings</v>
      </c>
      <c r="C12" s="33">
        <f>'Data Entry'!C12</f>
        <v>13</v>
      </c>
      <c r="D12" s="34">
        <f>IF(((AND(C69&gt;0,C12&gt;0))),(C12/(C69)),0)</f>
        <v>59.090909090909093</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13</v>
      </c>
      <c r="Q12" s="42">
        <f>(C69*L69)-C12</f>
        <v>9</v>
      </c>
      <c r="R12" s="42">
        <f t="shared" si="3"/>
        <v>22</v>
      </c>
      <c r="S12" s="30">
        <f t="shared" si="4"/>
        <v>0</v>
      </c>
      <c r="T12" s="30">
        <f t="shared" si="5"/>
        <v>0</v>
      </c>
      <c r="U12" s="31" t="str">
        <f t="shared" si="6"/>
        <v>- -</v>
      </c>
    </row>
    <row r="13" spans="2:21" ht="18" customHeight="1">
      <c r="B13" s="32" t="str">
        <f>'Data Entry'!A13</f>
        <v>8. Cases Resulting in Probation Placement</v>
      </c>
      <c r="C13" s="33">
        <f>'Data Entry'!C13</f>
        <v>31</v>
      </c>
      <c r="D13" s="34">
        <f>IF(((AND(C70&gt;0,C13&gt;0))),(C13/(C70)),0)</f>
        <v>238.46153846153845</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31</v>
      </c>
      <c r="Q13" s="42">
        <f>(C70*L70)-C13</f>
        <v>-18</v>
      </c>
      <c r="R13" s="42">
        <f t="shared" si="3"/>
        <v>13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5</v>
      </c>
      <c r="Q14" s="42">
        <f>(C70*L70)-C14</f>
        <v>8</v>
      </c>
      <c r="R14" s="42">
        <f t="shared" si="3"/>
        <v>13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22</v>
      </c>
      <c r="R15" s="42">
        <f t="shared" si="3"/>
        <v>22</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2.1680000000000001</v>
      </c>
      <c r="D42" s="56">
        <f>E6/1000</f>
        <v>2.4E-2</v>
      </c>
      <c r="E42" s="56">
        <f>MAX(C42:D42)</f>
        <v>2.1680000000000001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0.38</v>
      </c>
      <c r="D44" s="56">
        <f>E8/100</f>
        <v>0</v>
      </c>
      <c r="E44" s="56">
        <f>MAX(C44:D44,0)</f>
        <v>0.38</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2.1680000000000001</v>
      </c>
      <c r="D48" s="56">
        <f>D42</f>
        <v>2.4E-2</v>
      </c>
      <c r="E48" s="56">
        <f>MAX(C48:D48)</f>
        <v>2.1680000000000001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0.38</v>
      </c>
      <c r="D50" s="49">
        <f t="shared" si="9"/>
        <v>0</v>
      </c>
      <c r="E50" s="49">
        <f>MAX(C50:D50)</f>
        <v>0.38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2.1680000000000001</v>
      </c>
      <c r="D54" s="56">
        <f>D48</f>
        <v>2.4E-2</v>
      </c>
      <c r="E54" s="56">
        <f>MAX(C54:D54)</f>
        <v>2.1680000000000001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0.38</v>
      </c>
      <c r="D56" s="49">
        <f t="shared" si="10"/>
        <v>0</v>
      </c>
      <c r="E56" s="49">
        <f>MAX(C56:D56)</f>
        <v>0.38</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2.1680000000000001</v>
      </c>
      <c r="D60" s="56">
        <f>D54</f>
        <v>2.4E-2</v>
      </c>
      <c r="E60" s="56">
        <f>MAX(C60:D60)</f>
        <v>2.1680000000000001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0.38</v>
      </c>
      <c r="D62" s="49">
        <f t="shared" si="11"/>
        <v>0</v>
      </c>
      <c r="E62" s="49">
        <f>MAX(C62:D62)</f>
        <v>0.38</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2.1680000000000001</v>
      </c>
      <c r="D66" s="56">
        <f>D60</f>
        <v>2.4E-2</v>
      </c>
      <c r="E66" s="56">
        <f>MAX(C66:D66)</f>
        <v>2.1680000000000001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0.38</v>
      </c>
      <c r="D68" s="49">
        <f t="shared" si="12"/>
        <v>0</v>
      </c>
      <c r="E68" s="49">
        <f>MAX(C68:D68)</f>
        <v>0.38</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2168</v>
      </c>
      <c r="D6" s="34"/>
      <c r="E6" s="33">
        <f>'Data Entry'!F6</f>
        <v>31</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0.46125461254612543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31</v>
      </c>
      <c r="P7" s="42">
        <f t="shared" ref="P7:P15" si="4">C7</f>
        <v>1</v>
      </c>
      <c r="Q7" s="42">
        <f>C6-C7</f>
        <v>2167</v>
      </c>
      <c r="R7" s="42">
        <f t="shared" ref="R7:R15" si="5">SUM(N7:Q7)</f>
        <v>2199</v>
      </c>
      <c r="S7" s="30">
        <f t="shared" ref="S7:S15" si="6">R7*((((N7*Q7)-(O7*P7))^2))</f>
        <v>2113239</v>
      </c>
      <c r="T7" s="30">
        <f t="shared" ref="T7:T15" si="7">(N7+O7)*(P7+Q7)*(N7+P7)*(O7+Q7)</f>
        <v>147723184</v>
      </c>
      <c r="U7" s="31">
        <f t="shared" ref="U7:U15" si="8">IF((S7&gt;0),S7/T7,"- -")</f>
        <v>1.4305398399752879E-2</v>
      </c>
    </row>
    <row r="8" spans="2:21" ht="18" customHeight="1">
      <c r="B8" s="32" t="str">
        <f>'Data Entry'!A8</f>
        <v>3. Refer to Juvenile Court</v>
      </c>
      <c r="C8" s="33">
        <f>'Data Entry'!C8</f>
        <v>38</v>
      </c>
      <c r="D8" s="34">
        <f>IF((AND(C67&gt;0,C8&gt;0)),(C8/C67),0)</f>
        <v>3800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38</v>
      </c>
      <c r="Q8" s="42">
        <f>(C$67*L67)-C8</f>
        <v>-37</v>
      </c>
      <c r="R8" s="42">
        <f t="shared" si="5"/>
        <v>1.0499999999999972</v>
      </c>
      <c r="S8" s="30">
        <f t="shared" si="6"/>
        <v>3.79049999999999</v>
      </c>
      <c r="T8" s="30">
        <f t="shared" si="7"/>
        <v>-70.205000000000013</v>
      </c>
      <c r="U8" s="31">
        <f t="shared" si="8"/>
        <v>-5.399188092016223E-2</v>
      </c>
    </row>
    <row r="9" spans="2:21" ht="18" customHeight="1">
      <c r="B9" s="32" t="str">
        <f>'Data Entry'!A9</f>
        <v xml:space="preserve">4. Cases Diverted </v>
      </c>
      <c r="C9" s="33">
        <f>'Data Entry'!C9</f>
        <v>5</v>
      </c>
      <c r="D9" s="34">
        <f>IF((AND(C68&gt;0,C9&gt;0)),((C9/C68)),0)</f>
        <v>13.157894736842104</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33</v>
      </c>
      <c r="R9" s="42">
        <f t="shared" si="5"/>
        <v>38</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10.526315789473685</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34</v>
      </c>
      <c r="R10" s="42">
        <f t="shared" si="5"/>
        <v>38</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57.89473684210526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16</v>
      </c>
      <c r="R11" s="42">
        <f t="shared" si="5"/>
        <v>38</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59.090909090909093</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238.46153846153845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-18</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2.1680000000000001</v>
      </c>
      <c r="D42" s="56">
        <f>E6/1000</f>
        <v>3.1E-2</v>
      </c>
      <c r="E42" s="56">
        <f>MAX(C42:D42)</f>
        <v>2.1680000000000001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0.38</v>
      </c>
      <c r="D44" s="56">
        <f>E8/100</f>
        <v>0</v>
      </c>
      <c r="E44" s="56">
        <f>MAX(C44:D44,0)</f>
        <v>0.38</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2.1680000000000001</v>
      </c>
      <c r="D48" s="56">
        <f>D42</f>
        <v>3.1E-2</v>
      </c>
      <c r="E48" s="56">
        <f>MAX(C48:D48)</f>
        <v>2.1680000000000001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0.38</v>
      </c>
      <c r="D50" s="49">
        <f t="shared" si="9"/>
        <v>0</v>
      </c>
      <c r="E50" s="49">
        <f>MAX(C50:D50)</f>
        <v>0.38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2.1680000000000001</v>
      </c>
      <c r="D54" s="56">
        <f>D48</f>
        <v>3.1E-2</v>
      </c>
      <c r="E54" s="56">
        <f>MAX(C54:D54)</f>
        <v>2.1680000000000001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0.38</v>
      </c>
      <c r="D56" s="49">
        <f t="shared" si="10"/>
        <v>0</v>
      </c>
      <c r="E56" s="49">
        <f>MAX(C56:D56)</f>
        <v>0.38</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2.1680000000000001</v>
      </c>
      <c r="D60" s="56">
        <f>D54</f>
        <v>3.1E-2</v>
      </c>
      <c r="E60" s="56">
        <f>MAX(C60:D60)</f>
        <v>2.1680000000000001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0.38</v>
      </c>
      <c r="D62" s="49">
        <f t="shared" si="11"/>
        <v>0</v>
      </c>
      <c r="E62" s="49">
        <f>MAX(C62:D62)</f>
        <v>0.38</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2.1680000000000001</v>
      </c>
      <c r="D66" s="56">
        <f>D60</f>
        <v>3.1E-2</v>
      </c>
      <c r="E66" s="56">
        <f>MAX(C66:D66)</f>
        <v>2.1680000000000001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0.38</v>
      </c>
      <c r="D68" s="49">
        <f t="shared" si="12"/>
        <v>0</v>
      </c>
      <c r="E68" s="49">
        <f>MAX(C68:D68)</f>
        <v>0.38</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2168</v>
      </c>
      <c r="D6" s="34"/>
      <c r="E6" s="33">
        <f>'Data Entry'!E6</f>
        <v>83</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0.46125461254612543</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83</v>
      </c>
      <c r="P7" s="42">
        <f t="shared" ref="P7:P15" si="4">C7</f>
        <v>1</v>
      </c>
      <c r="Q7" s="42">
        <f>C6-C7</f>
        <v>2167</v>
      </c>
      <c r="R7" s="42">
        <f t="shared" ref="R7:R15" si="5">SUM(N7:Q7)</f>
        <v>2251</v>
      </c>
      <c r="S7" s="30">
        <f t="shared" ref="S7:S15" si="6">R7*((((N7*Q7)-(O7*P7))^2))</f>
        <v>15507139</v>
      </c>
      <c r="T7" s="30">
        <f t="shared" ref="T7:T15" si="7">(N7+O7)*(P7+Q7)*(N7+P7)*(O7+Q7)</f>
        <v>404874000</v>
      </c>
      <c r="U7" s="31">
        <f t="shared" ref="U7:U15" si="8">IF((S7&gt;0),S7/T7,"- -")</f>
        <v>3.8301148011480116E-2</v>
      </c>
    </row>
    <row r="8" spans="2:21" ht="18" customHeight="1">
      <c r="B8" s="32" t="str">
        <f>'Data Entry'!A8</f>
        <v>3. Refer to Juvenile Court</v>
      </c>
      <c r="C8" s="33">
        <f>'Data Entry'!C8</f>
        <v>38</v>
      </c>
      <c r="D8" s="34">
        <f>IF((AND(C67&gt;0,C8&gt;0)),(C8/C67),0)</f>
        <v>3800</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38</v>
      </c>
      <c r="Q8" s="42">
        <f>(C$67*L67)-C8</f>
        <v>-37</v>
      </c>
      <c r="R8" s="42">
        <f t="shared" si="5"/>
        <v>1.0499999999999972</v>
      </c>
      <c r="S8" s="30">
        <f t="shared" si="6"/>
        <v>3.79049999999999</v>
      </c>
      <c r="T8" s="30">
        <f t="shared" si="7"/>
        <v>-70.205000000000013</v>
      </c>
      <c r="U8" s="31">
        <f t="shared" si="8"/>
        <v>-5.399188092016223E-2</v>
      </c>
    </row>
    <row r="9" spans="2:21" ht="18" customHeight="1">
      <c r="B9" s="32" t="str">
        <f>'Data Entry'!A9</f>
        <v xml:space="preserve">4. Cases Diverted </v>
      </c>
      <c r="C9" s="33">
        <f>'Data Entry'!C9</f>
        <v>5</v>
      </c>
      <c r="D9" s="34">
        <f>IF((AND(C68&gt;0,C9&gt;0)),((C9/C68)),0)</f>
        <v>13.157894736842104</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33</v>
      </c>
      <c r="R9" s="42">
        <f t="shared" si="5"/>
        <v>38</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10.526315789473685</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34</v>
      </c>
      <c r="R10" s="42">
        <f t="shared" si="5"/>
        <v>38</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57.89473684210526</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16</v>
      </c>
      <c r="R11" s="42">
        <f t="shared" si="5"/>
        <v>38</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59.090909090909093</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238.46153846153845</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-18</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2.1680000000000001</v>
      </c>
      <c r="D42" s="56">
        <f>E6/1000</f>
        <v>8.3000000000000004E-2</v>
      </c>
      <c r="E42" s="56">
        <f>MAX(C42:D42)</f>
        <v>2.1680000000000001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0.38</v>
      </c>
      <c r="D44" s="56">
        <f>E8/100</f>
        <v>0</v>
      </c>
      <c r="E44" s="56">
        <f>MAX(C44:D44,0)</f>
        <v>0.38</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2.1680000000000001</v>
      </c>
      <c r="D48" s="56">
        <f>D42</f>
        <v>8.3000000000000004E-2</v>
      </c>
      <c r="E48" s="56">
        <f>MAX(C48:D48)</f>
        <v>2.1680000000000001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0.38</v>
      </c>
      <c r="D50" s="49">
        <f t="shared" si="9"/>
        <v>0</v>
      </c>
      <c r="E50" s="49">
        <f>MAX(C50:D50)</f>
        <v>0.38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2.1680000000000001</v>
      </c>
      <c r="D54" s="56">
        <f>D48</f>
        <v>8.3000000000000004E-2</v>
      </c>
      <c r="E54" s="56">
        <f>MAX(C54:D54)</f>
        <v>2.1680000000000001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0.38</v>
      </c>
      <c r="D56" s="49">
        <f t="shared" si="10"/>
        <v>0</v>
      </c>
      <c r="E56" s="49">
        <f>MAX(C56:D56)</f>
        <v>0.38</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2.1680000000000001</v>
      </c>
      <c r="D60" s="56">
        <f>D54</f>
        <v>8.3000000000000004E-2</v>
      </c>
      <c r="E60" s="56">
        <f>MAX(C60:D60)</f>
        <v>2.1680000000000001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0.38</v>
      </c>
      <c r="D62" s="49">
        <f t="shared" si="11"/>
        <v>0</v>
      </c>
      <c r="E62" s="49">
        <f>MAX(C62:D62)</f>
        <v>0.38</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2.1680000000000001</v>
      </c>
      <c r="D66" s="56">
        <f>D60</f>
        <v>8.3000000000000004E-2</v>
      </c>
      <c r="E66" s="56">
        <f>MAX(C66:D66)</f>
        <v>2.1680000000000001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0.38</v>
      </c>
      <c r="D68" s="49">
        <f t="shared" si="12"/>
        <v>0</v>
      </c>
      <c r="E68" s="49">
        <f>MAX(C68:D68)</f>
        <v>0.38</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2168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0.46125461254612543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2167</v>
      </c>
      <c r="R7" s="42">
        <f t="shared" ref="R7:R15" si="5">SUM(N7:Q7)</f>
        <v>2168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38</v>
      </c>
      <c r="D8" s="34">
        <f>IF((AND(C67&gt;0,C8&gt;0)),(C8/C67),0)</f>
        <v>3800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38</v>
      </c>
      <c r="Q8" s="42">
        <f>(C$67*L67)-C8</f>
        <v>-37</v>
      </c>
      <c r="R8" s="42">
        <f t="shared" si="5"/>
        <v>1.0499999999999972</v>
      </c>
      <c r="S8" s="30">
        <f t="shared" si="6"/>
        <v>3.79049999999999</v>
      </c>
      <c r="T8" s="30">
        <f t="shared" si="7"/>
        <v>-70.205000000000013</v>
      </c>
      <c r="U8" s="31">
        <f t="shared" si="8"/>
        <v>-5.399188092016223E-2</v>
      </c>
    </row>
    <row r="9" spans="2:21" ht="18" customHeight="1">
      <c r="B9" s="32" t="str">
        <f>'Data Entry'!A9</f>
        <v xml:space="preserve">4. Cases Diverted </v>
      </c>
      <c r="C9" s="33">
        <f>'Data Entry'!C9</f>
        <v>5</v>
      </c>
      <c r="D9" s="34">
        <f>IF((AND(C68&gt;0,C9&gt;0)),((C9/C68)),0)</f>
        <v>13.157894736842104</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33</v>
      </c>
      <c r="R9" s="42">
        <f t="shared" si="5"/>
        <v>38</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10.526315789473685</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34</v>
      </c>
      <c r="R10" s="42">
        <f t="shared" si="5"/>
        <v>38</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57.89473684210526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16</v>
      </c>
      <c r="R11" s="42">
        <f t="shared" si="5"/>
        <v>38</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59.090909090909093</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238.46153846153845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-18</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2.1680000000000001</v>
      </c>
      <c r="D42" s="56">
        <f>E6/1000</f>
        <v>0</v>
      </c>
      <c r="E42" s="56">
        <f>MAX(C42:D42)</f>
        <v>2.1680000000000001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0.38</v>
      </c>
      <c r="D44" s="56">
        <f>E8/100</f>
        <v>0</v>
      </c>
      <c r="E44" s="56">
        <f>MAX(C44:D44,0)</f>
        <v>0.38</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2.1680000000000001</v>
      </c>
      <c r="D48" s="56">
        <f>D42</f>
        <v>0</v>
      </c>
      <c r="E48" s="56">
        <f>MAX(C48:D48)</f>
        <v>2.1680000000000001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0.38</v>
      </c>
      <c r="D50" s="49">
        <f t="shared" si="9"/>
        <v>0</v>
      </c>
      <c r="E50" s="49">
        <f>MAX(C50:D50)</f>
        <v>0.38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2.1680000000000001</v>
      </c>
      <c r="D54" s="56">
        <f>D48</f>
        <v>0</v>
      </c>
      <c r="E54" s="56">
        <f>MAX(C54:D54)</f>
        <v>2.1680000000000001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0.38</v>
      </c>
      <c r="D56" s="49">
        <f t="shared" si="10"/>
        <v>0</v>
      </c>
      <c r="E56" s="49">
        <f>MAX(C56:D56)</f>
        <v>0.38</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2.1680000000000001</v>
      </c>
      <c r="D60" s="56">
        <f>D54</f>
        <v>0</v>
      </c>
      <c r="E60" s="56">
        <f>MAX(C60:D60)</f>
        <v>2.1680000000000001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0.38</v>
      </c>
      <c r="D62" s="49">
        <f t="shared" si="11"/>
        <v>0</v>
      </c>
      <c r="E62" s="49">
        <f>MAX(C62:D62)</f>
        <v>0.38</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2.1680000000000001</v>
      </c>
      <c r="D66" s="56">
        <f>D60</f>
        <v>0</v>
      </c>
      <c r="E66" s="56">
        <f>MAX(C66:D66)</f>
        <v>2.1680000000000001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0.38</v>
      </c>
      <c r="D68" s="49">
        <f t="shared" si="12"/>
        <v>0</v>
      </c>
      <c r="E68" s="49">
        <f>MAX(C68:D68)</f>
        <v>0.38</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Charlevoix</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2168</v>
      </c>
      <c r="D6" s="34"/>
      <c r="E6" s="33">
        <f>'Data Entry'!H6</f>
        <v>31</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0.46125461254612543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31</v>
      </c>
      <c r="P7" s="42">
        <f t="shared" ref="P7:P15" si="4">C7</f>
        <v>1</v>
      </c>
      <c r="Q7" s="42">
        <f>C6-C7</f>
        <v>2167</v>
      </c>
      <c r="R7" s="42">
        <f t="shared" ref="R7:R15" si="5">SUM(N7:Q7)</f>
        <v>2199</v>
      </c>
      <c r="S7" s="30">
        <f t="shared" ref="S7:S15" si="6">R7*((((N7*Q7)-(O7*P7))^2))</f>
        <v>2113239</v>
      </c>
      <c r="T7" s="30">
        <f t="shared" ref="T7:T15" si="7">(N7+O7)*(P7+Q7)*(N7+P7)*(O7+Q7)</f>
        <v>147723184</v>
      </c>
      <c r="U7" s="31">
        <f t="shared" ref="U7:U15" si="8">IF((S7&gt;0),S7/T7,"- -")</f>
        <v>1.4305398399752879E-2</v>
      </c>
    </row>
    <row r="8" spans="2:21" ht="18" customHeight="1">
      <c r="B8" s="32" t="str">
        <f>'Data Entry'!A8</f>
        <v>3. Refer to Juvenile Court</v>
      </c>
      <c r="C8" s="33">
        <f>'Data Entry'!C8</f>
        <v>38</v>
      </c>
      <c r="D8" s="34">
        <f>IF((AND(C67&gt;0,C8&gt;0)),(C8/C67),0)</f>
        <v>3800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38</v>
      </c>
      <c r="Q8" s="42">
        <f>(C$67*L67)-C8</f>
        <v>-37</v>
      </c>
      <c r="R8" s="42">
        <f t="shared" si="5"/>
        <v>1.0499999999999972</v>
      </c>
      <c r="S8" s="30">
        <f t="shared" si="6"/>
        <v>3.79049999999999</v>
      </c>
      <c r="T8" s="30">
        <f t="shared" si="7"/>
        <v>-70.205000000000013</v>
      </c>
      <c r="U8" s="31">
        <f t="shared" si="8"/>
        <v>-5.399188092016223E-2</v>
      </c>
    </row>
    <row r="9" spans="2:21" ht="18" customHeight="1">
      <c r="B9" s="32" t="str">
        <f>'Data Entry'!A9</f>
        <v xml:space="preserve">4. Cases Diverted </v>
      </c>
      <c r="C9" s="33">
        <f>'Data Entry'!C9</f>
        <v>5</v>
      </c>
      <c r="D9" s="34">
        <f>IF((AND(C68&gt;0,C9&gt;0)),((C9/C68)),0)</f>
        <v>13.157894736842104</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5</v>
      </c>
      <c r="Q9" s="42">
        <f>(C$68*L68)-C9</f>
        <v>33</v>
      </c>
      <c r="R9" s="42">
        <f t="shared" si="5"/>
        <v>38</v>
      </c>
      <c r="S9" s="30">
        <f t="shared" si="6"/>
        <v>0</v>
      </c>
      <c r="T9" s="30">
        <f t="shared" si="7"/>
        <v>0</v>
      </c>
      <c r="U9" s="31" t="str">
        <f t="shared" si="8"/>
        <v>- -</v>
      </c>
    </row>
    <row r="10" spans="2:21" ht="18" customHeight="1">
      <c r="B10" s="32" t="str">
        <f>'Data Entry'!A10</f>
        <v>5. Cases Involving Secure Detention</v>
      </c>
      <c r="C10" s="33">
        <f>'Data Entry'!C10</f>
        <v>4</v>
      </c>
      <c r="D10" s="34">
        <f>IF(((AND(C68&gt;0,C10&gt;0))),(C10/(C68)),0)</f>
        <v>10.526315789473685</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34</v>
      </c>
      <c r="R10" s="42">
        <f t="shared" si="5"/>
        <v>38</v>
      </c>
      <c r="S10" s="30">
        <f t="shared" si="6"/>
        <v>0</v>
      </c>
      <c r="T10" s="30">
        <f t="shared" si="7"/>
        <v>0</v>
      </c>
      <c r="U10" s="31" t="str">
        <f t="shared" si="8"/>
        <v>- -</v>
      </c>
    </row>
    <row r="11" spans="2:21" ht="18" customHeight="1">
      <c r="B11" s="32" t="str">
        <f>'Data Entry'!A11</f>
        <v>6. Cases Petitioned (Charge Filed)</v>
      </c>
      <c r="C11" s="33">
        <f>'Data Entry'!C11</f>
        <v>22</v>
      </c>
      <c r="D11" s="34">
        <f>IF(((AND(C68&gt;0,C11&gt;0))),(C11/(C68)),0)</f>
        <v>57.89473684210526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22</v>
      </c>
      <c r="Q11" s="42">
        <f>(C$68*L68)-C11</f>
        <v>16</v>
      </c>
      <c r="R11" s="42">
        <f t="shared" si="5"/>
        <v>38</v>
      </c>
      <c r="S11" s="30">
        <f t="shared" si="6"/>
        <v>0</v>
      </c>
      <c r="T11" s="30">
        <f t="shared" si="7"/>
        <v>0</v>
      </c>
      <c r="U11" s="31" t="str">
        <f t="shared" si="8"/>
        <v>- -</v>
      </c>
    </row>
    <row r="12" spans="2:21" ht="18" customHeight="1">
      <c r="B12" s="32" t="str">
        <f>'Data Entry'!A12</f>
        <v>7. Cases Resulting in Delinquent Findings</v>
      </c>
      <c r="C12" s="33">
        <f>'Data Entry'!C12</f>
        <v>13</v>
      </c>
      <c r="D12" s="34">
        <f>IF(((AND(C69&gt;0,C12&gt;0))),(C12/(C69)),0)</f>
        <v>59.090909090909093</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13</v>
      </c>
      <c r="Q12" s="42">
        <f>(C69*L69)-C12</f>
        <v>9</v>
      </c>
      <c r="R12" s="42">
        <f t="shared" si="5"/>
        <v>22</v>
      </c>
      <c r="S12" s="30">
        <f t="shared" si="6"/>
        <v>0</v>
      </c>
      <c r="T12" s="30">
        <f t="shared" si="7"/>
        <v>0</v>
      </c>
      <c r="U12" s="31" t="str">
        <f t="shared" si="8"/>
        <v>- -</v>
      </c>
    </row>
    <row r="13" spans="2:21" ht="18" customHeight="1">
      <c r="B13" s="32" t="str">
        <f>'Data Entry'!A13</f>
        <v>8. Cases Resulting in Probation Placement</v>
      </c>
      <c r="C13" s="33">
        <f>'Data Entry'!C13</f>
        <v>31</v>
      </c>
      <c r="D13" s="34">
        <f>IF(((AND(C70&gt;0,C13&gt;0))),(C13/(C70)),0)</f>
        <v>238.46153846153845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31</v>
      </c>
      <c r="Q13" s="42">
        <f>(C70*L70)-C13</f>
        <v>-18</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5</v>
      </c>
      <c r="D14" s="34">
        <f>IF(((AND(C70&gt;0,C14&gt;0))), ((C14/(C70))),0)</f>
        <v>38.46153846153846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8</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22</v>
      </c>
      <c r="R15" s="42">
        <f t="shared" si="5"/>
        <v>22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2.1680000000000001</v>
      </c>
      <c r="D42" s="56">
        <f>E6/1000</f>
        <v>3.1E-2</v>
      </c>
      <c r="E42" s="56">
        <f>MAX(C42:D42)</f>
        <v>2.1680000000000001</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0.38</v>
      </c>
      <c r="D44" s="56">
        <f>E8/100</f>
        <v>0</v>
      </c>
      <c r="E44" s="56">
        <f>MAX(C44:D44,0)</f>
        <v>0.38</v>
      </c>
      <c r="G44" s="1" t="str">
        <f>B44</f>
        <v>per 100 referrals</v>
      </c>
      <c r="L44" s="57">
        <v>100</v>
      </c>
      <c r="M44" s="57"/>
      <c r="R44" s="49"/>
    </row>
    <row r="45" spans="2:18" ht="15" hidden="1" customHeight="1">
      <c r="B45" s="49" t="s">
        <v>89</v>
      </c>
      <c r="C45" s="49">
        <f>C11/100</f>
        <v>0.22</v>
      </c>
      <c r="D45" s="49">
        <f>E11/100</f>
        <v>0</v>
      </c>
      <c r="E45" s="56">
        <f>MAX(C45:D45,0)</f>
        <v>0.22</v>
      </c>
      <c r="G45" s="1" t="str">
        <f>B45</f>
        <v>per 100 youth petitioned</v>
      </c>
      <c r="L45" s="57">
        <v>100</v>
      </c>
      <c r="M45" s="57"/>
      <c r="R45" s="49"/>
    </row>
    <row r="46" spans="2:18" ht="15" hidden="1" customHeight="1">
      <c r="B46" s="49" t="s">
        <v>90</v>
      </c>
      <c r="C46" s="49">
        <f>C12/100</f>
        <v>0.13</v>
      </c>
      <c r="D46" s="49">
        <f>E12/100</f>
        <v>0</v>
      </c>
      <c r="E46" s="56">
        <f>MAX(C46:D46)</f>
        <v>0.13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2.1680000000000001</v>
      </c>
      <c r="D48" s="56">
        <f>D42</f>
        <v>3.1E-2</v>
      </c>
      <c r="E48" s="56">
        <f>MAX(C48:D48)</f>
        <v>2.1680000000000001</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referrals</v>
      </c>
      <c r="C50" s="49">
        <f t="shared" si="9"/>
        <v>0.38</v>
      </c>
      <c r="D50" s="49">
        <f t="shared" si="9"/>
        <v>0</v>
      </c>
      <c r="E50" s="49">
        <f>MAX(C50:D50)</f>
        <v>0.38</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0.22</v>
      </c>
      <c r="D51" s="49">
        <f>IF(($E45&gt;0),D45,D44)</f>
        <v>0</v>
      </c>
      <c r="E51" s="49">
        <f>MAX(C51:D51)</f>
        <v>0.22</v>
      </c>
      <c r="G51" s="1" t="str">
        <f>G45</f>
        <v>per 100 youth petitioned</v>
      </c>
      <c r="L51" s="58">
        <f>IF(($E45&gt;0),L45,L44)</f>
        <v>100</v>
      </c>
      <c r="M51" s="58"/>
    </row>
    <row r="52" spans="2:18" ht="15" hidden="1" customHeight="1">
      <c r="B52" s="49" t="str">
        <f>IF(($E46&gt;0),B46,B45)</f>
        <v>per 100 youth found delinquent</v>
      </c>
      <c r="C52" s="49">
        <f>IF(($E46&gt;0),C46,C45)</f>
        <v>0.13</v>
      </c>
      <c r="D52" s="49">
        <f>IF(($E46&gt;0),D46,D45)</f>
        <v>0</v>
      </c>
      <c r="E52" s="56">
        <f>MAX(C52:D52)</f>
        <v>0.13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2.1680000000000001</v>
      </c>
      <c r="D54" s="56">
        <f>D48</f>
        <v>3.1E-2</v>
      </c>
      <c r="E54" s="56">
        <f>MAX(C54:D54)</f>
        <v>2.1680000000000001</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referrals</v>
      </c>
      <c r="C56" s="49">
        <f t="shared" si="10"/>
        <v>0.38</v>
      </c>
      <c r="D56" s="49">
        <f t="shared" si="10"/>
        <v>0</v>
      </c>
      <c r="E56" s="49">
        <f>MAX(C56:D56)</f>
        <v>0.38</v>
      </c>
      <c r="G56" s="1" t="str">
        <f>G50</f>
        <v>per 100 referrals</v>
      </c>
      <c r="L56" s="58">
        <f>IF(($E50&gt;0),L50,L49)</f>
        <v>100</v>
      </c>
      <c r="M56" s="58"/>
    </row>
    <row r="57" spans="2:18" ht="15" hidden="1" customHeight="1">
      <c r="B57" s="49" t="str">
        <f>IF(($E51&gt;0),B51,B49)</f>
        <v>per 100 youth petitioned</v>
      </c>
      <c r="C57" s="49">
        <f>IF(($E51&gt;0),C51,C50)</f>
        <v>0.22</v>
      </c>
      <c r="D57" s="49">
        <f>IF(($E51&gt;0),D51,D50)</f>
        <v>0</v>
      </c>
      <c r="E57" s="49">
        <f>MAX(C57:D57)</f>
        <v>0.22</v>
      </c>
      <c r="G57" s="1" t="str">
        <f>G51</f>
        <v>per 100 youth petitioned</v>
      </c>
      <c r="L57" s="58">
        <f>IF(($E51&gt;0),L51,L50)</f>
        <v>100</v>
      </c>
      <c r="M57" s="58"/>
    </row>
    <row r="58" spans="2:18" ht="15" hidden="1" customHeight="1">
      <c r="B58" s="49" t="str">
        <f>IF(($E52&gt;0),B52,B51)</f>
        <v>per 100 youth found delinquent</v>
      </c>
      <c r="C58" s="49">
        <f>IF(($E52&gt;0),C52,C51)</f>
        <v>0.13</v>
      </c>
      <c r="D58" s="49">
        <f>IF(($E52&gt;0),D52,D51)</f>
        <v>0</v>
      </c>
      <c r="E58" s="56">
        <f>MAX(C58:D58)</f>
        <v>0.13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2.1680000000000001</v>
      </c>
      <c r="D60" s="56">
        <f>D54</f>
        <v>3.1E-2</v>
      </c>
      <c r="E60" s="56">
        <f>MAX(C60:D60)</f>
        <v>2.1680000000000001</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referrals</v>
      </c>
      <c r="C62" s="49">
        <f t="shared" si="11"/>
        <v>0.38</v>
      </c>
      <c r="D62" s="49">
        <f t="shared" si="11"/>
        <v>0</v>
      </c>
      <c r="E62" s="49">
        <f>MAX(C62:D62)</f>
        <v>0.38</v>
      </c>
      <c r="G62" s="1" t="str">
        <f>G56</f>
        <v>per 100 referrals</v>
      </c>
      <c r="L62" s="58">
        <f>IF(($E56&gt;0),L56,L55)</f>
        <v>100</v>
      </c>
      <c r="M62" s="58"/>
    </row>
    <row r="63" spans="2:18" ht="15" hidden="1" customHeight="1">
      <c r="B63" s="49" t="str">
        <f>IF(($E57&gt;0),B57,B55)</f>
        <v>per 100 youth petitioned</v>
      </c>
      <c r="C63" s="49">
        <f>IF(($E57&gt;0),C57,C56)</f>
        <v>0.22</v>
      </c>
      <c r="D63" s="49">
        <f>IF(($E57&gt;0),D57,D56)</f>
        <v>0</v>
      </c>
      <c r="E63" s="49">
        <f>MAX(C63:D63)</f>
        <v>0.22</v>
      </c>
      <c r="G63" s="1" t="str">
        <f>G57</f>
        <v>per 100 youth petitioned</v>
      </c>
      <c r="L63" s="58">
        <f>IF(($E57&gt;0),L57,L56)</f>
        <v>100</v>
      </c>
      <c r="M63" s="58"/>
    </row>
    <row r="64" spans="2:18" ht="15" hidden="1" customHeight="1">
      <c r="B64" s="49" t="str">
        <f>IF(($E58&gt;0),B58,B57)</f>
        <v>per 100 youth found delinquent</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2.1680000000000001</v>
      </c>
      <c r="D66" s="56">
        <f>D60</f>
        <v>3.1E-2</v>
      </c>
      <c r="E66" s="56">
        <f>MAX(C66:D66)</f>
        <v>2.1680000000000001</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referrals</v>
      </c>
      <c r="C68" s="49">
        <f t="shared" si="12"/>
        <v>0.38</v>
      </c>
      <c r="D68" s="49">
        <f t="shared" si="12"/>
        <v>0</v>
      </c>
      <c r="E68" s="49">
        <f>MAX(C68:D68)</f>
        <v>0.38</v>
      </c>
      <c r="G68" s="1" t="str">
        <f>G62</f>
        <v>per 100 referrals</v>
      </c>
      <c r="L68" s="58">
        <f>IF(($E62&gt;0),L62,L61)</f>
        <v>100</v>
      </c>
      <c r="M68" s="58">
        <f>IF((B68=G68),1,2)</f>
        <v>1</v>
      </c>
    </row>
    <row r="69" spans="2:13" ht="15" hidden="1" customHeight="1">
      <c r="B69" s="49" t="str">
        <f>IF(($E63&gt;0),B63,B61)</f>
        <v>per 100 youth petitioned</v>
      </c>
      <c r="C69" s="49">
        <f>IF(($E63&gt;0),C63,C62)</f>
        <v>0.22</v>
      </c>
      <c r="D69" s="49">
        <f>IF(($E63&gt;0),D63,D62)</f>
        <v>0</v>
      </c>
      <c r="E69" s="49">
        <f>MAX(C69:D69)</f>
        <v>0.22</v>
      </c>
      <c r="G69" s="1" t="str">
        <f>G63</f>
        <v>per 100 youth petitioned</v>
      </c>
      <c r="L69" s="58">
        <f>IF(($E63&gt;0),L63,L62)</f>
        <v>100</v>
      </c>
      <c r="M69" s="58">
        <f>IF((B69=G69),1,2)</f>
        <v>1</v>
      </c>
    </row>
    <row r="70" spans="2:13" ht="15" hidden="1" customHeight="1">
      <c r="B70" s="49" t="str">
        <f>IF(($E64&gt;0),B64,B63)</f>
        <v>per 100 youth found delinquent</v>
      </c>
      <c r="C70" s="49">
        <f>IF(($E64&gt;0),C64,C63)</f>
        <v>0.13</v>
      </c>
      <c r="D70" s="49">
        <f>IF(($E64&gt;0),D64,D63)</f>
        <v>0</v>
      </c>
      <c r="E70" s="56">
        <f>MAX(C70:D70)</f>
        <v>0.13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U47JMPN4QEAR-1806752177-30443</_dlc_DocId>
    <_dlc_DocIdUrl xmlns="ac3811b5-0f3e-49e2-ba69-f2ffa0c782af">
      <Url>https://michiganphi.sharepoint.com/sites/CMDMC/_layouts/15/DocIdRedir.aspx?ID=U47JMPN4QEAR-1806752177-30443</Url>
      <Description>U47JMPN4QEAR-1806752177-30443</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AC255A7-3070-410C-9648-5F5F48E7B476}"/>
</file>

<file path=customXml/itemProps2.xml><?xml version="1.0" encoding="utf-8"?>
<ds:datastoreItem xmlns:ds="http://schemas.openxmlformats.org/officeDocument/2006/customXml" ds:itemID="{F4F27BB4-B4A4-408F-A860-D94F85EC82B4}">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3.xml><?xml version="1.0" encoding="utf-8"?>
<ds:datastoreItem xmlns:ds="http://schemas.openxmlformats.org/officeDocument/2006/customXml" ds:itemID="{C91F091F-FEA8-4DF5-B4AD-D98EFDEE3F7A}">
  <ds:schemaRefs>
    <ds:schemaRef ds:uri="http://schemas.microsoft.com/sharepoint/v3/contenttype/forms"/>
  </ds:schemaRefs>
</ds:datastoreItem>
</file>

<file path=customXml/itemProps4.xml><?xml version="1.0" encoding="utf-8"?>
<ds:datastoreItem xmlns:ds="http://schemas.openxmlformats.org/officeDocument/2006/customXml" ds:itemID="{E53FE9CA-5549-4BAD-BCE2-BAAE8DC4D8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0149525e-a237-4450-a5da-f07d56886301</vt:lpwstr>
  </property>
</Properties>
</file>