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A1C25CCE-313E-495A-A31D-8D7726A9672D}"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5"/>
  <c r="M66" i="5"/>
  <c r="F27" i="2"/>
  <c r="M66" i="2"/>
  <c r="F27" i="3"/>
  <c r="M66" i="3"/>
  <c r="M66" i="8"/>
  <c r="F27" i="8"/>
  <c r="M66" i="7"/>
  <c r="F27" i="7"/>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3" l="1"/>
  <c r="D64" i="5"/>
  <c r="L56" i="8"/>
  <c r="L64" i="5"/>
  <c r="B56" i="8"/>
  <c r="C57" i="8"/>
  <c r="B57" i="8"/>
  <c r="B64" i="8" s="1"/>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E64" i="5"/>
  <c r="D64" i="3"/>
  <c r="C64" i="6"/>
  <c r="C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C69" i="7"/>
  <c r="D12" i="7" s="1"/>
  <c r="D70" i="6"/>
  <c r="F13" i="6" s="1"/>
  <c r="C63" i="8"/>
  <c r="C70" i="6"/>
  <c r="D13" i="6" s="1"/>
  <c r="C70" i="3"/>
  <c r="D14" i="3" s="1"/>
  <c r="L63" i="8"/>
  <c r="L70" i="8" s="1"/>
  <c r="E63" i="3"/>
  <c r="C69" i="3" s="1"/>
  <c r="D15" i="3" s="1"/>
  <c r="L69" i="7"/>
  <c r="L70" i="3"/>
  <c r="L70" i="6"/>
  <c r="D63" i="8"/>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3" i="3" l="1"/>
  <c r="O13" i="6"/>
  <c r="O14" i="6"/>
  <c r="Q13" i="3"/>
  <c r="D15" i="7"/>
  <c r="Q12" i="7"/>
  <c r="B69" i="6"/>
  <c r="M69" i="6" s="1"/>
  <c r="F14" i="6"/>
  <c r="D12" i="3"/>
  <c r="Q14" i="3"/>
  <c r="B69" i="3"/>
  <c r="M69" i="3" s="1"/>
  <c r="L69" i="3"/>
  <c r="Q12" i="3" s="1"/>
  <c r="D13" i="3"/>
  <c r="Q15" i="7"/>
  <c r="Q13" i="8"/>
  <c r="O13" i="3"/>
  <c r="R13" i="3" s="1"/>
  <c r="S13" i="3" s="1"/>
  <c r="U13" i="3" s="1"/>
  <c r="J13" i="3" s="1"/>
  <c r="D14" i="6"/>
  <c r="F14" i="3"/>
  <c r="E69" i="7"/>
  <c r="E63" i="8"/>
  <c r="D69" i="8" s="1"/>
  <c r="F12" i="8" s="1"/>
  <c r="E70" i="6"/>
  <c r="Q13" i="6"/>
  <c r="T13" i="6" s="1"/>
  <c r="Q14" i="6"/>
  <c r="R14" i="6" s="1"/>
  <c r="S14" i="6" s="1"/>
  <c r="D69" i="3"/>
  <c r="E69" i="3" s="1"/>
  <c r="C69" i="6"/>
  <c r="D12" i="6" s="1"/>
  <c r="F12" i="7"/>
  <c r="O12" i="7"/>
  <c r="O15" i="7"/>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B69" i="8"/>
  <c r="M69" i="8" s="1"/>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5" i="3" l="1"/>
  <c r="T14" i="6"/>
  <c r="T14" i="3"/>
  <c r="F32" i="6"/>
  <c r="O12" i="3"/>
  <c r="R12" i="3" s="1"/>
  <c r="S12" i="3" s="1"/>
  <c r="F35" i="6"/>
  <c r="O12" i="6"/>
  <c r="K12" i="7"/>
  <c r="F35" i="3"/>
  <c r="K15" i="7"/>
  <c r="R14" i="8"/>
  <c r="S14" i="8" s="1"/>
  <c r="K14" i="6"/>
  <c r="F32" i="3"/>
  <c r="Q15" i="3"/>
  <c r="T15" i="3" s="1"/>
  <c r="R13" i="8"/>
  <c r="S13" i="8" s="1"/>
  <c r="T12" i="7"/>
  <c r="K13" i="3"/>
  <c r="L13" i="3" s="1"/>
  <c r="P14" i="16" s="1"/>
  <c r="T15" i="7"/>
  <c r="F15" i="8"/>
  <c r="D15" i="6"/>
  <c r="L69" i="8"/>
  <c r="O15" i="8" s="1"/>
  <c r="T13" i="3"/>
  <c r="C69" i="8"/>
  <c r="D15" i="8" s="1"/>
  <c r="R13" i="6"/>
  <c r="S13" i="6" s="1"/>
  <c r="U13" i="6" s="1"/>
  <c r="J13" i="6" s="1"/>
  <c r="M13" i="6" s="1"/>
  <c r="G13" i="6" s="1"/>
  <c r="G13" i="9" s="1"/>
  <c r="K13" i="6"/>
  <c r="R14" i="3"/>
  <c r="S14" i="3" s="1"/>
  <c r="U14" i="3" s="1"/>
  <c r="J14" i="3" s="1"/>
  <c r="M14" i="3" s="1"/>
  <c r="G14" i="3" s="1"/>
  <c r="I15" i="16" s="1"/>
  <c r="Q12" i="6"/>
  <c r="Q15" i="6"/>
  <c r="F15" i="3"/>
  <c r="F12" i="3"/>
  <c r="R12" i="7"/>
  <c r="S12" i="7" s="1"/>
  <c r="U12" i="7" s="1"/>
  <c r="J12" i="7" s="1"/>
  <c r="M12" i="7" s="1"/>
  <c r="T13" i="8"/>
  <c r="R15" i="7"/>
  <c r="S15" i="7" s="1"/>
  <c r="U15" i="7" s="1"/>
  <c r="J15" i="7" s="1"/>
  <c r="E69" i="6"/>
  <c r="K14" i="3"/>
  <c r="O15" i="6"/>
  <c r="F15" i="6"/>
  <c r="L13" i="4"/>
  <c r="O14" i="16" s="1"/>
  <c r="L11" i="4"/>
  <c r="O12" i="16" s="1"/>
  <c r="K8" i="7"/>
  <c r="O13" i="2"/>
  <c r="F35" i="8"/>
  <c r="T8" i="7"/>
  <c r="U8" i="7" s="1"/>
  <c r="J8" i="7" s="1"/>
  <c r="M8" i="7" s="1"/>
  <c r="T13" i="7"/>
  <c r="F32" i="8"/>
  <c r="Q10" i="7"/>
  <c r="F13" i="2"/>
  <c r="Q11" i="7"/>
  <c r="R8" i="6"/>
  <c r="S8" i="6" s="1"/>
  <c r="F14" i="2"/>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D15" i="5"/>
  <c r="T12" i="3"/>
  <c r="D12" i="5"/>
  <c r="Q15" i="5"/>
  <c r="K15" i="5" s="1"/>
  <c r="I12" i="16"/>
  <c r="E11" i="9"/>
  <c r="I12" i="13"/>
  <c r="T14" i="8"/>
  <c r="D13" i="2"/>
  <c r="E70" i="2"/>
  <c r="Q14" i="2"/>
  <c r="K14" i="2" s="1"/>
  <c r="M13" i="4"/>
  <c r="G13" i="4" s="1"/>
  <c r="G14" i="16" s="1"/>
  <c r="L9" i="4"/>
  <c r="O10" i="16" s="1"/>
  <c r="R13" i="7"/>
  <c r="S13" i="7" s="1"/>
  <c r="Q13" i="2"/>
  <c r="U9" i="3"/>
  <c r="J9" i="3" s="1"/>
  <c r="L9" i="3" s="1"/>
  <c r="N30" i="5"/>
  <c r="L14" i="5"/>
  <c r="Q15" i="16" s="1"/>
  <c r="L13" i="5"/>
  <c r="Q14" i="16" s="1"/>
  <c r="L10" i="4"/>
  <c r="O11" i="16" s="1"/>
  <c r="K13" i="7"/>
  <c r="T8" i="2"/>
  <c r="U8" i="2" s="1"/>
  <c r="J8" i="2" s="1"/>
  <c r="M11" i="4"/>
  <c r="G11" i="4" s="1"/>
  <c r="T14" i="7"/>
  <c r="U14" i="7" s="1"/>
  <c r="J14" i="7" s="1"/>
  <c r="K14" i="7"/>
  <c r="M13" i="3"/>
  <c r="G13" i="3" s="1"/>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K12" i="3" l="1"/>
  <c r="U13" i="7"/>
  <c r="J13" i="7" s="1"/>
  <c r="M13" i="7" s="1"/>
  <c r="K15" i="3"/>
  <c r="R15" i="3"/>
  <c r="S15" i="3" s="1"/>
  <c r="U15" i="3" s="1"/>
  <c r="J15" i="3" s="1"/>
  <c r="M15" i="3" s="1"/>
  <c r="G15" i="3" s="1"/>
  <c r="I16" i="16" s="1"/>
  <c r="L15" i="7"/>
  <c r="S16" i="16" s="1"/>
  <c r="R12" i="6"/>
  <c r="S12" i="6" s="1"/>
  <c r="U12" i="6" s="1"/>
  <c r="J12" i="6" s="1"/>
  <c r="M12" i="6" s="1"/>
  <c r="G12" i="6" s="1"/>
  <c r="K15" i="6"/>
  <c r="I15" i="13"/>
  <c r="U14" i="8"/>
  <c r="J14" i="8" s="1"/>
  <c r="N30" i="8" s="1"/>
  <c r="U13" i="8"/>
  <c r="J13" i="8" s="1"/>
  <c r="M13" i="8" s="1"/>
  <c r="G13" i="8" s="1"/>
  <c r="K14" i="16" s="1"/>
  <c r="Q12" i="8"/>
  <c r="O12" i="8"/>
  <c r="D12" i="8"/>
  <c r="E69" i="8"/>
  <c r="R15" i="6"/>
  <c r="S15" i="6" s="1"/>
  <c r="U15" i="6" s="1"/>
  <c r="J15" i="6" s="1"/>
  <c r="M15" i="6" s="1"/>
  <c r="G15" i="6" s="1"/>
  <c r="Q15" i="8"/>
  <c r="R15" i="8" s="1"/>
  <c r="S15" i="8" s="1"/>
  <c r="U15" i="8" s="1"/>
  <c r="J15" i="8" s="1"/>
  <c r="T15" i="6"/>
  <c r="K12" i="6"/>
  <c r="T12" i="6"/>
  <c r="E14" i="9"/>
  <c r="N30" i="3"/>
  <c r="L14" i="3"/>
  <c r="P15" i="16" s="1"/>
  <c r="L13" i="6"/>
  <c r="R14" i="16" s="1"/>
  <c r="L12" i="7"/>
  <c r="S13" i="16" s="1"/>
  <c r="M14" i="13"/>
  <c r="M15" i="7"/>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D13" i="9"/>
  <c r="G14" i="13"/>
  <c r="K9" i="7"/>
  <c r="T14" i="2"/>
  <c r="V12" i="13"/>
  <c r="U10" i="13"/>
  <c r="N11" i="9"/>
  <c r="T15" i="5"/>
  <c r="W14" i="13"/>
  <c r="N13" i="9"/>
  <c r="L13" i="7"/>
  <c r="S14" i="16" s="1"/>
  <c r="M9" i="3"/>
  <c r="G9" i="3" s="1"/>
  <c r="I10" i="13" s="1"/>
  <c r="I14" i="13"/>
  <c r="I14" i="16"/>
  <c r="G12" i="13"/>
  <c r="G12" i="16"/>
  <c r="N9" i="9"/>
  <c r="P10" i="16"/>
  <c r="M14" i="7"/>
  <c r="N30" i="7"/>
  <c r="L14" i="7"/>
  <c r="S15" i="16" s="1"/>
  <c r="L8" i="7"/>
  <c r="S9" i="16" s="1"/>
  <c r="O13" i="9"/>
  <c r="V14" i="13"/>
  <c r="M9"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Q15" i="9" l="1"/>
  <c r="I16" i="13"/>
  <c r="E15" i="9"/>
  <c r="L15" i="3"/>
  <c r="P16" i="16" s="1"/>
  <c r="Y16" i="13"/>
  <c r="L12" i="6"/>
  <c r="R13" i="16" s="1"/>
  <c r="L13" i="8"/>
  <c r="T14" i="16" s="1"/>
  <c r="L14" i="8"/>
  <c r="T15" i="16" s="1"/>
  <c r="M14" i="8"/>
  <c r="G14" i="8" s="1"/>
  <c r="K15" i="16" s="1"/>
  <c r="T12" i="8"/>
  <c r="Q14" i="13"/>
  <c r="I13" i="9"/>
  <c r="L15" i="6"/>
  <c r="R16" i="16" s="1"/>
  <c r="K12" i="8"/>
  <c r="R12" i="8"/>
  <c r="S12" i="8" s="1"/>
  <c r="U11" i="7"/>
  <c r="J11" i="7" s="1"/>
  <c r="M11" i="7" s="1"/>
  <c r="N14" i="9"/>
  <c r="Q12" i="9"/>
  <c r="K15" i="8"/>
  <c r="L15" i="8" s="1"/>
  <c r="T16" i="16" s="1"/>
  <c r="T15" i="8"/>
  <c r="U10" i="7"/>
  <c r="J10" i="7" s="1"/>
  <c r="M10" i="7" s="1"/>
  <c r="V15" i="13"/>
  <c r="U14" i="2"/>
  <c r="J14" i="2" s="1"/>
  <c r="M14" i="2" s="1"/>
  <c r="G14" i="2" s="1"/>
  <c r="E15" i="16" s="1"/>
  <c r="U13" i="2"/>
  <c r="J13" i="2" s="1"/>
  <c r="M13" i="2" s="1"/>
  <c r="G13" i="2" s="1"/>
  <c r="E14" i="16" s="1"/>
  <c r="X14" i="13"/>
  <c r="P13" i="9"/>
  <c r="Y13" i="13"/>
  <c r="L8" i="6"/>
  <c r="R9" i="16" s="1"/>
  <c r="P15" i="9"/>
  <c r="L15" i="5"/>
  <c r="Q16" i="16" s="1"/>
  <c r="T9" i="13"/>
  <c r="L8" i="9"/>
  <c r="X15" i="13"/>
  <c r="P14" i="9"/>
  <c r="G8" i="9"/>
  <c r="Q14" i="9"/>
  <c r="Y15" i="13"/>
  <c r="Y14" i="13"/>
  <c r="E9" i="13"/>
  <c r="Q13" i="9"/>
  <c r="L10" i="2"/>
  <c r="N11" i="16" s="1"/>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P12" i="9" l="1"/>
  <c r="X13" i="13"/>
  <c r="V16" i="13"/>
  <c r="L11" i="7"/>
  <c r="S12" i="16" s="1"/>
  <c r="N15" i="9"/>
  <c r="X16" i="13"/>
  <c r="Z14" i="13"/>
  <c r="R13" i="9"/>
  <c r="U12" i="8"/>
  <c r="J12" i="8" s="1"/>
  <c r="M12" i="8" s="1"/>
  <c r="G12" i="8" s="1"/>
  <c r="K13" i="16" s="1"/>
  <c r="I14" i="9"/>
  <c r="Z15" i="13"/>
  <c r="R14" i="9"/>
  <c r="Q15" i="13"/>
  <c r="L10" i="7"/>
  <c r="S11" i="16" s="1"/>
  <c r="L13" i="2"/>
  <c r="N14" i="16" s="1"/>
  <c r="C14" i="9"/>
  <c r="N30" i="2"/>
  <c r="L14" i="2"/>
  <c r="N15" i="16" s="1"/>
  <c r="E15" i="13"/>
  <c r="C13" i="9"/>
  <c r="E14" i="13"/>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D15" i="9"/>
  <c r="G16" i="13"/>
  <c r="M10" i="8"/>
  <c r="G10" i="8" s="1"/>
  <c r="K11" i="16" s="1"/>
  <c r="L10" i="8"/>
  <c r="T11" i="16" s="1"/>
  <c r="L11" i="8"/>
  <c r="T12" i="16" s="1"/>
  <c r="M11" i="8"/>
  <c r="G11" i="8" s="1"/>
  <c r="K12" i="16" s="1"/>
  <c r="I12" i="9" l="1"/>
  <c r="Y12" i="13"/>
  <c r="Q13" i="13"/>
  <c r="L12" i="8"/>
  <c r="T13" i="16" s="1"/>
  <c r="Q10" i="9"/>
  <c r="T14" i="13"/>
  <c r="L13" i="9"/>
  <c r="Y11" i="13"/>
  <c r="T15" i="13"/>
  <c r="L14" i="9"/>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<sst xmlns="http://schemas.openxmlformats.org/spreadsheetml/2006/main" count="654" uniqueCount="141">
  <si>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</si>
  <si>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</si>
  <si>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</si>
  <si>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</si>
  <si>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</si>
  <si>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</si>
  <si>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</si>
  <si>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</si>
  <si>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</si>
  <si>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</si>
  <si>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</si>
  <si>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</si>
  <si>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</si>
  <si>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</si>
  <si>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</si>
  <si>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</si>
  <si>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</si>
  <si>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</si>
  <si>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</si>
  <si>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</si>
  <si>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</si>
  <si>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</si>
  <si>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</si>
  <si>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</si>
  <si>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</si>
  <si>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</si>
  <si>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</si>
  <si>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</si>
  <si>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</si>
  <si>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</si>
  <si>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</si>
  <si>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</si>
  <si>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</si>
  <si>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</si>
  <si>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</si>
  <si>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</si>
  <si>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</si>
  <si>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</si>
  <si>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</si>
  <si>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</si>
  <si>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</si>
  <si>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</si>
  <si>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</si>
  <si>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</si>
  <si>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</si>
  <si>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</si>
  <si>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</si>
  <si>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</si>
  <si>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</si>
  <si>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</si>
  <si>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</si>
  <si>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</si>
  <si>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</si>
  <si>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</si>
  <si>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</si>
  <si>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</si>
  <si>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</si>
  <si>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</si>
  <si>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</si>
  <si>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</si>
  <si>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</si>
  <si>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</si>
  <si>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</si>
  <si>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</si>
  <si>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</si>
  <si>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</si>
  <si>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</si>
  <si>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</si>
  <si>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</si>
  <si>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</si>
  <si>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</si>
  <si>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</si>
  <si>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</si>
  <si>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</si>
  <si>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</si>
  <si>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</si>
  <si>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</si>
  <si>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</si>
  <si>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</si>
  <si>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</si>
  <si>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</si>
  <si>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</si>
  <si>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</si>
  <si>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</si>
  <si>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</si>
  <si>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</si>
  <si>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</si>
  <si>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</si>
  <si>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</si>
  <si>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</si>
  <si>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</si>
  <si>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</si>
  <si>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</si>
  <si>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</si>
  <si>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</si>
  <si>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</si>
  <si>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</si>
  <si>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</si>
  <si>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</si>
  <si>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</si>
  <si>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</si>
  <si>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</si>
  <si>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</si>
  <si>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</si>
  <si>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</si>
  <si>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</si>
  <si>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</si>
  <si>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</si>
  <si>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</si>
  <si>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</si>
  <si>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</si>
  <si>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</si>
  <si>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</si>
  <si>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</si>
  <si>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</si>
  <si>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</si>
  <si>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</si>
  <si>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</si>
  <si>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</si>
  <si>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</si>
  <si>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</si>
  <si>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</si>
  <si>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</si>
  <si>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</si>
  <si>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</si>
  <si>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</si>
  <si>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</si>
  <si>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</si>
  <si>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</si>
  <si>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</si>
  <si>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</si>
  <si>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</si>
  <si>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</si>
  <si>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</si>
  <si>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</si>
  <si>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</si>
  <si>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</si>
  <si>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Charlevoix</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</si>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</sst>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Charlevoix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N=17</c:v>
                </c:pt>
                <c:pt idx="3">
                  <c:v>Petitions, total N=23</c:v>
                </c:pt>
                <c:pt idx="4">
                  <c:v>Detentions, total N=3</c:v>
                </c:pt>
                <c:pt idx="5">
                  <c:v>Referrals, total N=35</c:v>
                </c:pt>
                <c:pt idx="6">
                  <c:v>Arrests, total N=0</c:v>
                </c:pt>
                <c:pt idx="7">
                  <c:v>Population, total N=2021</c:v>
                </c:pt>
              </c:strCache>
            </c:strRef>
          </c:cat>
          <c:val>
            <c:numRef>
              <c:f>'Stacked 100%'!$B$7:$B$14</c:f>
              <c:numCache>
                <c:formatCode>0%</c:formatCode>
                <c:ptCount val="8"/>
                <c:pt idx="0">
                  <c:v>0</c:v>
                </c:pt>
                <c:pt idx="1">
                  <c:v>0.25</c:v>
                </c:pt>
                <c:pt idx="2">
                  <c:v>5.8823529411764705E-2</c:v>
                </c:pt>
                <c:pt idx="3">
                  <c:v>0</c:v>
                </c:pt>
                <c:pt idx="4">
                  <c:v>0</c:v>
                </c:pt>
                <c:pt idx="5">
                  <c:v>2.8571428571428571E-2</c:v>
                </c:pt>
                <c:pt idx="6">
                  <c:v>0</c:v>
                </c:pt>
                <c:pt idx="7">
                  <c:v>9.4012864918357249E-3</c:v>
                </c:pt>
              </c:numCache>
            </c:numRef>
          </c:val>
          <c:extLst>
            <c:ext xmlns:c16="http://schemas.microsoft.com/office/drawing/2014/chart" uri="{C3380CC4-5D6E-409C-BE32-E72D297353CC}">
              <c16:uniqueId val="{00000000-A879-4045-A8BD-BD67AE6B535C}"/>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N=17</c:v>
                </c:pt>
                <c:pt idx="3">
                  <c:v>Petitions, total N=23</c:v>
                </c:pt>
                <c:pt idx="4">
                  <c:v>Detentions, total N=3</c:v>
                </c:pt>
                <c:pt idx="5">
                  <c:v>Referrals, total N=35</c:v>
                </c:pt>
                <c:pt idx="6">
                  <c:v>Arrests, total N=0</c:v>
                </c:pt>
                <c:pt idx="7">
                  <c:v>Population, total N=2021</c:v>
                </c:pt>
              </c:strCache>
            </c:strRef>
          </c:cat>
          <c:val>
            <c:numRef>
              <c:f>'Stacked 100%'!$C$7:$C$14</c:f>
              <c:numCache>
                <c:formatCode>0%</c:formatCode>
                <c:ptCount val="8"/>
                <c:pt idx="0">
                  <c:v>0</c:v>
                </c:pt>
                <c:pt idx="1">
                  <c:v>0</c:v>
                </c:pt>
                <c:pt idx="2">
                  <c:v>0</c:v>
                </c:pt>
                <c:pt idx="3">
                  <c:v>0</c:v>
                </c:pt>
                <c:pt idx="4">
                  <c:v>0</c:v>
                </c:pt>
                <c:pt idx="5">
                  <c:v>0</c:v>
                </c:pt>
                <c:pt idx="6">
                  <c:v>0</c:v>
                </c:pt>
                <c:pt idx="7">
                  <c:v>3.5131123206333499E-2</c:v>
                </c:pt>
              </c:numCache>
            </c:numRef>
          </c:val>
          <c:extLst>
            <c:ext xmlns:c16="http://schemas.microsoft.com/office/drawing/2014/chart" uri="{C3380CC4-5D6E-409C-BE32-E72D297353CC}">
              <c16:uniqueId val="{00000001-A879-4045-A8BD-BD67AE6B535C}"/>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N=4</c:v>
                </c:pt>
                <c:pt idx="2">
                  <c:v>Delinquent Findings, total N=17</c:v>
                </c:pt>
                <c:pt idx="3">
                  <c:v>Petitions, total N=23</c:v>
                </c:pt>
                <c:pt idx="4">
                  <c:v>Detentions, total N=3</c:v>
                </c:pt>
                <c:pt idx="5">
                  <c:v>Referrals, total N=35</c:v>
                </c:pt>
                <c:pt idx="6">
                  <c:v>Arrests, total N=0</c:v>
                </c:pt>
                <c:pt idx="7">
                  <c:v>Population, total N=2021</c:v>
                </c:pt>
              </c:strCache>
            </c:strRef>
          </c:cat>
          <c:val>
            <c:numRef>
              <c:f>'Stacked 100%'!$H$7:$H$14</c:f>
              <c:numCache>
                <c:formatCode>0%</c:formatCode>
                <c:ptCount val="8"/>
                <c:pt idx="0">
                  <c:v>0</c:v>
                </c:pt>
                <c:pt idx="1">
                  <c:v>0</c:v>
                </c:pt>
                <c:pt idx="2">
                  <c:v>0</c:v>
                </c:pt>
                <c:pt idx="3">
                  <c:v>0</c:v>
                </c:pt>
                <c:pt idx="4">
                  <c:v>0</c:v>
                </c:pt>
                <c:pt idx="5">
                  <c:v>8.1632653061224482E-4</c:v>
                </c:pt>
                <c:pt idx="6">
                  <c:v>0</c:v>
                </c:pt>
                <c:pt idx="7">
                  <c:v>1.2731240333744568E-5</c:v>
                </c:pt>
              </c:numCache>
            </c:numRef>
          </c:val>
          <c:extLst>
            <c:ext xmlns:c16="http://schemas.microsoft.com/office/drawing/2014/chart" uri="{C3380CC4-5D6E-409C-BE32-E72D297353CC}">
              <c16:uniqueId val="{00000002-A879-4045-A8BD-BD67AE6B535C}"/>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N=17</c:v>
                </c:pt>
                <c:pt idx="3">
                  <c:v>Petitions, total N=23</c:v>
                </c:pt>
                <c:pt idx="4">
                  <c:v>Detentions, total N=3</c:v>
                </c:pt>
                <c:pt idx="5">
                  <c:v>Referrals, total N=35</c:v>
                </c:pt>
                <c:pt idx="6">
                  <c:v>Arrests, total N=0</c:v>
                </c:pt>
                <c:pt idx="7">
                  <c:v>Population, total N=2021</c:v>
                </c:pt>
              </c:strCache>
            </c:strRef>
          </c:cat>
          <c:val>
            <c:numRef>
              <c:f>'Stacked 100%'!$I$7:$I$14</c:f>
              <c:numCache>
                <c:formatCode>0%</c:formatCode>
                <c:ptCount val="8"/>
                <c:pt idx="0">
                  <c:v>0</c:v>
                </c:pt>
                <c:pt idx="1">
                  <c:v>0.75</c:v>
                </c:pt>
                <c:pt idx="2">
                  <c:v>0.94117647058823528</c:v>
                </c:pt>
                <c:pt idx="3">
                  <c:v>1</c:v>
                </c:pt>
                <c:pt idx="4">
                  <c:v>1</c:v>
                </c:pt>
                <c:pt idx="5">
                  <c:v>0.94285714285714284</c:v>
                </c:pt>
                <c:pt idx="6">
                  <c:v>0</c:v>
                </c:pt>
                <c:pt idx="7">
                  <c:v>0.92973775358733302</c:v>
                </c:pt>
              </c:numCache>
            </c:numRef>
          </c:val>
          <c:extLst>
            <c:ext xmlns:c16="http://schemas.microsoft.com/office/drawing/2014/chart" uri="{C3380CC4-5D6E-409C-BE32-E72D297353CC}">
              <c16:uniqueId val="{00000003-A879-4045-A8BD-BD67AE6B535C}"/>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N=4</c:v>
                </c:pt>
                <c:pt idx="2">
                  <c:v>Delinquent Findings, total N=17</c:v>
                </c:pt>
                <c:pt idx="3">
                  <c:v>Petitions, total N=23</c:v>
                </c:pt>
                <c:pt idx="4">
                  <c:v>Detentions, total N=3</c:v>
                </c:pt>
                <c:pt idx="5">
                  <c:v>Referrals, total N=35</c:v>
                </c:pt>
                <c:pt idx="6">
                  <c:v>Arrests, total N=0</c:v>
                </c:pt>
                <c:pt idx="7">
                  <c:v>Population, total N=2021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879-4045-A8BD-BD67AE6B535C}"/>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Normal="100" workbookViewId="0">
      <selection activeCell="E14" sqref="E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2021</v>
      </c>
      <c r="C6" s="11">
        <v>1879</v>
      </c>
      <c r="D6" s="11">
        <v>19</v>
      </c>
      <c r="E6" s="11">
        <v>71</v>
      </c>
      <c r="F6" s="11">
        <v>26</v>
      </c>
      <c r="G6" s="11"/>
      <c r="H6" s="11">
        <v>26</v>
      </c>
      <c r="I6" s="11"/>
      <c r="J6" s="91">
        <f>SUM(D6:I6)</f>
        <v>142</v>
      </c>
      <c r="K6" s="92"/>
    </row>
    <row r="7" spans="1:11" ht="15.75" customHeight="1" thickBot="1" x14ac:dyDescent="0.25">
      <c r="A7" s="10" t="s">
        <v>8</v>
      </c>
      <c r="B7" s="11">
        <f t="shared" ref="B7:B15" si="0">SUM(C7:I7)+K7</f>
        <v>0</v>
      </c>
      <c r="C7" s="11"/>
      <c r="D7" s="11"/>
      <c r="E7" s="11"/>
      <c r="F7" s="11"/>
      <c r="G7" s="11"/>
      <c r="H7" s="11"/>
      <c r="I7" s="11"/>
      <c r="J7" s="91">
        <f t="shared" ref="J7:J15" si="1">SUM(D7:I7)</f>
        <v>0</v>
      </c>
      <c r="K7" s="92"/>
    </row>
    <row r="8" spans="1:11" ht="15.75" customHeight="1" thickBot="1" x14ac:dyDescent="0.25">
      <c r="A8" s="10" t="s">
        <v>9</v>
      </c>
      <c r="B8" s="11">
        <f t="shared" si="0"/>
        <v>35</v>
      </c>
      <c r="C8" s="11">
        <v>33</v>
      </c>
      <c r="D8" s="11">
        <v>1</v>
      </c>
      <c r="E8" s="11"/>
      <c r="F8" s="11"/>
      <c r="G8" s="11"/>
      <c r="H8" s="11">
        <v>1</v>
      </c>
      <c r="I8" s="11"/>
      <c r="J8" s="91">
        <f t="shared" si="1"/>
        <v>2</v>
      </c>
      <c r="K8" s="92"/>
    </row>
    <row r="9" spans="1:11" ht="15.75" customHeight="1" thickBot="1" x14ac:dyDescent="0.25">
      <c r="A9" s="10" t="s">
        <v>10</v>
      </c>
      <c r="B9" s="11">
        <f t="shared" si="0"/>
        <v>1</v>
      </c>
      <c r="C9" s="11">
        <v>1</v>
      </c>
      <c r="D9" s="11"/>
      <c r="E9" s="11"/>
      <c r="F9" s="11"/>
      <c r="G9" s="11"/>
      <c r="H9" s="11"/>
      <c r="I9" s="11"/>
      <c r="J9" s="91">
        <f t="shared" si="1"/>
        <v>0</v>
      </c>
      <c r="K9" s="92"/>
    </row>
    <row r="10" spans="1:11" ht="15.75" customHeight="1" thickBot="1" x14ac:dyDescent="0.25">
      <c r="A10" s="10" t="s">
        <v>11</v>
      </c>
      <c r="B10" s="11">
        <f t="shared" si="0"/>
        <v>3</v>
      </c>
      <c r="C10" s="11">
        <v>3</v>
      </c>
      <c r="D10" s="11"/>
      <c r="E10" s="11"/>
      <c r="F10" s="11"/>
      <c r="G10" s="11"/>
      <c r="H10" s="11"/>
      <c r="I10" s="11"/>
      <c r="J10" s="91">
        <f t="shared" si="1"/>
        <v>0</v>
      </c>
      <c r="K10" s="92"/>
    </row>
    <row r="11" spans="1:11" ht="15.75" customHeight="1" thickBot="1" x14ac:dyDescent="0.25">
      <c r="A11" s="10" t="s">
        <v>12</v>
      </c>
      <c r="B11" s="11">
        <f t="shared" si="0"/>
        <v>23</v>
      </c>
      <c r="C11" s="11">
        <v>23</v>
      </c>
      <c r="D11" s="11"/>
      <c r="E11" s="11"/>
      <c r="F11" s="11"/>
      <c r="G11" s="11"/>
      <c r="H11" s="11"/>
      <c r="I11" s="11"/>
      <c r="J11" s="91">
        <f t="shared" si="1"/>
        <v>0</v>
      </c>
      <c r="K11" s="92"/>
    </row>
    <row r="12" spans="1:11" ht="15.75" customHeight="1" thickBot="1" x14ac:dyDescent="0.25">
      <c r="A12" s="10" t="s">
        <v>13</v>
      </c>
      <c r="B12" s="11">
        <f t="shared" si="0"/>
        <v>17</v>
      </c>
      <c r="C12" s="11">
        <v>16</v>
      </c>
      <c r="D12" s="11">
        <v>1</v>
      </c>
      <c r="E12" s="11"/>
      <c r="F12" s="11"/>
      <c r="G12" s="11"/>
      <c r="H12" s="11"/>
      <c r="I12" s="11"/>
      <c r="J12" s="91">
        <f t="shared" si="1"/>
        <v>1</v>
      </c>
      <c r="K12" s="92"/>
    </row>
    <row r="13" spans="1:11" ht="15.75" customHeight="1" thickBot="1" x14ac:dyDescent="0.25">
      <c r="A13" s="10" t="s">
        <v>133</v>
      </c>
      <c r="B13" s="11">
        <f t="shared" si="0"/>
        <v>29</v>
      </c>
      <c r="C13" s="11">
        <v>27</v>
      </c>
      <c r="D13" s="11">
        <v>1</v>
      </c>
      <c r="E13" s="11"/>
      <c r="F13" s="11"/>
      <c r="G13" s="11"/>
      <c r="H13" s="11">
        <v>1</v>
      </c>
      <c r="I13" s="11"/>
      <c r="J13" s="91">
        <f t="shared" si="1"/>
        <v>2</v>
      </c>
      <c r="K13" s="92"/>
    </row>
    <row r="14" spans="1:11" ht="26.25" customHeight="1" thickBot="1" x14ac:dyDescent="0.25">
      <c r="A14" s="10" t="s">
        <v>123</v>
      </c>
      <c r="B14" s="11">
        <f t="shared" si="0"/>
        <v>4</v>
      </c>
      <c r="C14" s="11">
        <v>3</v>
      </c>
      <c r="D14" s="11">
        <v>1</v>
      </c>
      <c r="E14" s="11"/>
      <c r="F14" s="11"/>
      <c r="G14" s="11"/>
      <c r="H14" s="11"/>
      <c r="I14" s="11"/>
      <c r="J14" s="91">
        <f t="shared" si="1"/>
        <v>1</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No</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Charlevoix</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1879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1879</v>
      </c>
      <c r="R7" s="42">
        <f t="shared" ref="R7:R15" si="5">SUM(N7:Q7)</f>
        <v>1879</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33</v>
      </c>
      <c r="D8" s="34">
        <f>IF((AND(C67&gt;0,C8&gt;0)),(C8/C67),0)</f>
        <v>17.562533262373602</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33</v>
      </c>
      <c r="Q8" s="42">
        <f>(C$67*L67)-C8</f>
        <v>1846</v>
      </c>
      <c r="R8" s="42">
        <f t="shared" si="5"/>
        <v>1879.05</v>
      </c>
      <c r="S8" s="30">
        <f t="shared" si="6"/>
        <v>5115.7136250000012</v>
      </c>
      <c r="T8" s="30">
        <f t="shared" si="7"/>
        <v>5723401.1174999997</v>
      </c>
      <c r="U8" s="31">
        <f t="shared" si="8"/>
        <v>8.9382406020051264E-4</v>
      </c>
    </row>
    <row r="9" spans="2:21" ht="18" customHeight="1" x14ac:dyDescent="0.25">
      <c r="B9" s="32" t="str">
        <f>'Data Entry'!A9</f>
        <v xml:space="preserve">4. Cases Diverted </v>
      </c>
      <c r="C9" s="33">
        <f>'Data Entry'!C9</f>
        <v>1</v>
      </c>
      <c r="D9" s="34">
        <f>IF((AND(C68&gt;0,C9&gt;0)),((C9/C68)),0)</f>
        <v>3.0303030303030303</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32</v>
      </c>
      <c r="R9" s="42">
        <f t="shared" si="5"/>
        <v>33</v>
      </c>
      <c r="S9" s="30">
        <f t="shared" si="6"/>
        <v>0</v>
      </c>
      <c r="T9" s="30">
        <f t="shared" si="7"/>
        <v>0</v>
      </c>
      <c r="U9" s="31" t="str">
        <f t="shared" si="8"/>
        <v>- -</v>
      </c>
    </row>
    <row r="10" spans="2:21" ht="18" customHeight="1" x14ac:dyDescent="0.25">
      <c r="B10" s="32" t="str">
        <f>'Data Entry'!A10</f>
        <v>5. Cases Involving Secure Detention</v>
      </c>
      <c r="C10" s="33">
        <f>'Data Entry'!C10</f>
        <v>3</v>
      </c>
      <c r="D10" s="34">
        <f>IF(((AND(C68&gt;0,C10&gt;0))),(C10/(C68)),0)</f>
        <v>9.0909090909090899</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30</v>
      </c>
      <c r="R10" s="42">
        <f t="shared" si="5"/>
        <v>33</v>
      </c>
      <c r="S10" s="30">
        <f t="shared" si="6"/>
        <v>0</v>
      </c>
      <c r="T10" s="30">
        <f t="shared" si="7"/>
        <v>0</v>
      </c>
      <c r="U10" s="31" t="str">
        <f t="shared" si="8"/>
        <v>- -</v>
      </c>
    </row>
    <row r="11" spans="2:21" ht="18" customHeight="1" x14ac:dyDescent="0.25">
      <c r="B11" s="32" t="str">
        <f>'Data Entry'!A11</f>
        <v>6. Cases Petitioned (Charge Filed)</v>
      </c>
      <c r="C11" s="33">
        <f>'Data Entry'!C11</f>
        <v>23</v>
      </c>
      <c r="D11" s="34">
        <f>IF(((AND(C68&gt;0,C11&gt;0))),(C11/(C68)),0)</f>
        <v>69.696969696969688</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10</v>
      </c>
      <c r="R11" s="42">
        <f t="shared" si="5"/>
        <v>33</v>
      </c>
      <c r="S11" s="30">
        <f t="shared" si="6"/>
        <v>0</v>
      </c>
      <c r="T11" s="30">
        <f t="shared" si="7"/>
        <v>0</v>
      </c>
      <c r="U11" s="31" t="str">
        <f t="shared" si="8"/>
        <v>- -</v>
      </c>
    </row>
    <row r="12" spans="2:21" ht="18" customHeight="1" x14ac:dyDescent="0.25">
      <c r="B12" s="32" t="str">
        <f>'Data Entry'!A12</f>
        <v>7. Cases Resulting in Delinquent Findings</v>
      </c>
      <c r="C12" s="33">
        <f>'Data Entry'!C12</f>
        <v>16</v>
      </c>
      <c r="D12" s="34">
        <f>IF(((AND(C69&gt;0,C12&gt;0))),(C12/(C69)),0)</f>
        <v>69.565217391304344</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7</v>
      </c>
      <c r="R12" s="42">
        <f t="shared" si="5"/>
        <v>23</v>
      </c>
      <c r="S12" s="30">
        <f t="shared" si="6"/>
        <v>0</v>
      </c>
      <c r="T12" s="30">
        <f t="shared" si="7"/>
        <v>0</v>
      </c>
      <c r="U12" s="31" t="str">
        <f t="shared" si="8"/>
        <v>- -</v>
      </c>
    </row>
    <row r="13" spans="2:21" ht="18" customHeight="1" x14ac:dyDescent="0.25">
      <c r="B13" s="32" t="str">
        <f>'Data Entry'!A13</f>
        <v>8. Cases Resulting in Probation Placement</v>
      </c>
      <c r="C13" s="33">
        <f>'Data Entry'!C13</f>
        <v>27</v>
      </c>
      <c r="D13" s="34">
        <f>IF(((AND(C70&gt;0,C13&gt;0))),(C13/(C70)),0)</f>
        <v>168.75</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27</v>
      </c>
      <c r="Q13" s="42">
        <f>(C70*L70)-C13</f>
        <v>-11</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18.75</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13</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1.879</v>
      </c>
      <c r="D42" s="56">
        <f>E6/1000</f>
        <v>0</v>
      </c>
      <c r="E42" s="56">
        <f>MAX(C42:D42)</f>
        <v>1.879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0.33</v>
      </c>
      <c r="D44" s="56">
        <f>E8/100</f>
        <v>0</v>
      </c>
      <c r="E44" s="56">
        <f>MAX(C44:D44,0)</f>
        <v>0.33</v>
      </c>
      <c r="G44" s="1" t="str">
        <f>B44</f>
        <v>per 100 referrals</v>
      </c>
      <c r="L44" s="57">
        <v>100</v>
      </c>
      <c r="M44" s="57"/>
      <c r="R44" s="49"/>
    </row>
    <row r="45" spans="2:18" ht="15" hidden="1" customHeight="1" x14ac:dyDescent="0.25">
      <c r="B45" s="49" t="s">
        <v>89</v>
      </c>
      <c r="C45" s="49">
        <f>C11/100</f>
        <v>0.23</v>
      </c>
      <c r="D45" s="49">
        <f>E11/100</f>
        <v>0</v>
      </c>
      <c r="E45" s="56">
        <f>MAX(C45:D45,0)</f>
        <v>0.23</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1.879</v>
      </c>
      <c r="D48" s="56">
        <f>D42</f>
        <v>0</v>
      </c>
      <c r="E48" s="56">
        <f>MAX(C48:D48)</f>
        <v>1.879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1.879</v>
      </c>
      <c r="D49" s="49">
        <f t="shared" si="9"/>
        <v>0</v>
      </c>
      <c r="E49" s="49">
        <f>MAX(C49:D49)</f>
        <v>1.879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0.33</v>
      </c>
      <c r="D50" s="49">
        <f t="shared" si="9"/>
        <v>0</v>
      </c>
      <c r="E50" s="49">
        <f>MAX(C50:D50)</f>
        <v>0.33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1.879</v>
      </c>
      <c r="D54" s="56">
        <f>D48</f>
        <v>0</v>
      </c>
      <c r="E54" s="56">
        <f>MAX(C54:D54)</f>
        <v>1.879</v>
      </c>
      <c r="G54" s="1" t="str">
        <f>G48</f>
        <v>per 1000 youth</v>
      </c>
      <c r="L54" s="58">
        <f>L48</f>
        <v>1000</v>
      </c>
      <c r="M54" s="58"/>
    </row>
    <row r="55" spans="2:18" ht="15" hidden="1" customHeight="1" x14ac:dyDescent="0.25">
      <c r="B55" s="49" t="str">
        <f t="shared" ref="B55:D56" si="10">IF(($E49&gt;0),B49,B48)</f>
        <v>per 1000 youth</v>
      </c>
      <c r="C55" s="49">
        <f t="shared" si="10"/>
        <v>1.879</v>
      </c>
      <c r="D55" s="49">
        <f t="shared" si="10"/>
        <v>0</v>
      </c>
      <c r="E55" s="49">
        <f>MAX(C55:D55)</f>
        <v>1.879</v>
      </c>
      <c r="G55" s="1" t="str">
        <f>G49</f>
        <v>per 100 arrests</v>
      </c>
      <c r="L55" s="58">
        <f>IF(($E49&gt;0),L49,L48)</f>
        <v>1000</v>
      </c>
      <c r="M55" s="58"/>
    </row>
    <row r="56" spans="2:18" ht="15" hidden="1" customHeight="1" x14ac:dyDescent="0.25">
      <c r="B56" s="49" t="str">
        <f t="shared" si="10"/>
        <v>per 100 referrals</v>
      </c>
      <c r="C56" s="49">
        <f t="shared" si="10"/>
        <v>0.33</v>
      </c>
      <c r="D56" s="49">
        <f t="shared" si="10"/>
        <v>0</v>
      </c>
      <c r="E56" s="49">
        <f>MAX(C56:D56)</f>
        <v>0.33</v>
      </c>
      <c r="G56" s="1" t="str">
        <f>G50</f>
        <v>per 100 referrals</v>
      </c>
      <c r="L56" s="58">
        <f>IF(($E50&gt;0),L50,L49)</f>
        <v>100</v>
      </c>
      <c r="M56" s="58"/>
    </row>
    <row r="57" spans="2:18" ht="15" hidden="1" customHeight="1" x14ac:dyDescent="0.25">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1.879</v>
      </c>
      <c r="D60" s="56">
        <f>D54</f>
        <v>0</v>
      </c>
      <c r="E60" s="56">
        <f>MAX(C60:D60)</f>
        <v>1.879</v>
      </c>
      <c r="G60" s="1" t="str">
        <f>G54</f>
        <v>per 1000 youth</v>
      </c>
      <c r="L60" s="58">
        <f>L54</f>
        <v>1000</v>
      </c>
      <c r="M60" s="58"/>
    </row>
    <row r="61" spans="2:18" ht="15" hidden="1" customHeight="1" x14ac:dyDescent="0.25">
      <c r="B61" s="49" t="str">
        <f t="shared" ref="B61:D62" si="11">IF(($E55&gt;0),B55,B54)</f>
        <v>per 1000 youth</v>
      </c>
      <c r="C61" s="49">
        <f t="shared" si="11"/>
        <v>1.879</v>
      </c>
      <c r="D61" s="49">
        <f t="shared" si="11"/>
        <v>0</v>
      </c>
      <c r="E61" s="49">
        <f>MAX(C61:D61)</f>
        <v>1.879</v>
      </c>
      <c r="G61" s="1" t="str">
        <f>G55</f>
        <v>per 100 arrests</v>
      </c>
      <c r="L61" s="58">
        <f>IF(($E55&gt;0),L55,L54)</f>
        <v>1000</v>
      </c>
      <c r="M61" s="58"/>
    </row>
    <row r="62" spans="2:18" ht="15" hidden="1" customHeight="1" x14ac:dyDescent="0.25">
      <c r="B62" s="49" t="str">
        <f t="shared" si="11"/>
        <v>per 100 referrals</v>
      </c>
      <c r="C62" s="49">
        <f t="shared" si="11"/>
        <v>0.33</v>
      </c>
      <c r="D62" s="49">
        <f t="shared" si="11"/>
        <v>0</v>
      </c>
      <c r="E62" s="49">
        <f>MAX(C62:D62)</f>
        <v>0.33</v>
      </c>
      <c r="G62" s="1" t="str">
        <f>G56</f>
        <v>per 100 referrals</v>
      </c>
      <c r="L62" s="58">
        <f>IF(($E56&gt;0),L56,L55)</f>
        <v>100</v>
      </c>
      <c r="M62" s="58"/>
    </row>
    <row r="63" spans="2:18" ht="15" hidden="1" customHeight="1" x14ac:dyDescent="0.25">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1.879</v>
      </c>
      <c r="D66" s="56">
        <f>D60</f>
        <v>0</v>
      </c>
      <c r="E66" s="56">
        <f>MAX(C66:D66)</f>
        <v>1.879</v>
      </c>
      <c r="G66" s="1" t="str">
        <f>G60</f>
        <v>per 1000 youth</v>
      </c>
      <c r="L66" s="58">
        <f>L60</f>
        <v>1000</v>
      </c>
      <c r="M66" s="58">
        <f>IF((B66=G66),1,2)</f>
        <v>1</v>
      </c>
    </row>
    <row r="67" spans="2:13" ht="15" hidden="1" customHeight="1" x14ac:dyDescent="0.25">
      <c r="B67" s="49" t="str">
        <f t="shared" ref="B67:D68" si="12">IF(($E61&gt;0),B61,B60)</f>
        <v>per 1000 youth</v>
      </c>
      <c r="C67" s="49">
        <f t="shared" si="12"/>
        <v>1.879</v>
      </c>
      <c r="D67" s="49">
        <f t="shared" si="12"/>
        <v>0</v>
      </c>
      <c r="E67" s="49">
        <f>MAX(C67:D67)</f>
        <v>1.879</v>
      </c>
      <c r="G67" s="1" t="str">
        <f>G61</f>
        <v>per 100 arrests</v>
      </c>
      <c r="L67" s="58">
        <f>IF(($E61&gt;0),L61,L60)</f>
        <v>1000</v>
      </c>
      <c r="M67" s="58">
        <f>IF((B67=G67),1,2)</f>
        <v>2</v>
      </c>
    </row>
    <row r="68" spans="2:13" ht="15" hidden="1" customHeight="1" x14ac:dyDescent="0.25">
      <c r="B68" s="49" t="str">
        <f t="shared" si="12"/>
        <v>per 100 referrals</v>
      </c>
      <c r="C68" s="49">
        <f t="shared" si="12"/>
        <v>0.33</v>
      </c>
      <c r="D68" s="49">
        <f t="shared" si="12"/>
        <v>0</v>
      </c>
      <c r="E68" s="49">
        <f>MAX(C68:D68)</f>
        <v>0.33</v>
      </c>
      <c r="G68" s="1" t="str">
        <f>G62</f>
        <v>per 100 referrals</v>
      </c>
      <c r="L68" s="58">
        <f>IF(($E62&gt;0),L62,L61)</f>
        <v>100</v>
      </c>
      <c r="M68" s="58">
        <f>IF((B68=G68),1,2)</f>
        <v>1</v>
      </c>
    </row>
    <row r="69" spans="2:13" ht="15" hidden="1" customHeight="1" x14ac:dyDescent="0.25">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Charlevoix</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1879</v>
      </c>
      <c r="D6" s="34"/>
      <c r="E6" s="33">
        <f>'Data Entry'!J6</f>
        <v>142</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Entry'!J7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142</v>
      </c>
      <c r="P7" s="42">
        <f t="shared" ref="P7:P15" si="4">C7</f>
        <v>0</v>
      </c>
      <c r="Q7" s="42">
        <f>C6-C7</f>
        <v>1879</v>
      </c>
      <c r="R7" s="42">
        <f t="shared" ref="R7:R15" si="5">SUM(N7:Q7)</f>
        <v>2021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33</v>
      </c>
      <c r="D8" s="34">
        <f>IF((AND(C67&gt;0,C8&gt;0)),(C8/C67),0)</f>
        <v>17.562533262373602</v>
      </c>
      <c r="E8" s="33">
        <f>'Data Entry'!J8</f>
        <v>2</v>
      </c>
      <c r="F8" s="34">
        <f>IF((AND($E$8&gt;0,$D$67&gt;0)),($E8/$D67),0)</f>
        <v>14.084507042253522</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140.05000000000001</v>
      </c>
      <c r="P8" s="42">
        <f t="shared" si="4"/>
        <v>33</v>
      </c>
      <c r="Q8" s="42">
        <f>(C$67*L67)-C8</f>
        <v>1846</v>
      </c>
      <c r="R8" s="42">
        <f t="shared" si="5"/>
        <v>2021.05</v>
      </c>
      <c r="S8" s="30">
        <f t="shared" si="6"/>
        <v>1746690689.0286269</v>
      </c>
      <c r="T8" s="30">
        <f t="shared" si="7"/>
        <v>18553516740.412498</v>
      </c>
      <c r="U8" s="31">
        <f t="shared" si="8"/>
        <v>9.4143375267722582E-2</v>
      </c>
    </row>
    <row r="9" spans="2:21" ht="18" customHeight="1" x14ac:dyDescent="0.25">
      <c r="B9" s="32" t="str">
        <f>'Data Entry'!A9</f>
        <v xml:space="preserve">4. Cases Diverted </v>
      </c>
      <c r="C9" s="33">
        <f>'Data Entry'!C9</f>
        <v>1</v>
      </c>
      <c r="D9" s="34">
        <f>IF((AND(C68&gt;0,C9&gt;0)),((C9/C68)),0)</f>
        <v>3.0303030303030303</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2</v>
      </c>
      <c r="P9" s="42">
        <f t="shared" si="4"/>
        <v>1</v>
      </c>
      <c r="Q9" s="42">
        <f>(C$68*L68)-C9</f>
        <v>32</v>
      </c>
      <c r="R9" s="42">
        <f t="shared" si="5"/>
        <v>35</v>
      </c>
      <c r="S9" s="30">
        <f t="shared" si="6"/>
        <v>140</v>
      </c>
      <c r="T9" s="30">
        <f t="shared" si="7"/>
        <v>2244</v>
      </c>
      <c r="U9" s="31">
        <f t="shared" si="8"/>
        <v>6.2388591800356503E-2</v>
      </c>
    </row>
    <row r="10" spans="2:21" ht="18" customHeight="1" x14ac:dyDescent="0.25">
      <c r="B10" s="32" t="str">
        <f>'Data Entry'!A10</f>
        <v>5. Cases Involving Secure Detention</v>
      </c>
      <c r="C10" s="33">
        <f>'Data Entry'!C10</f>
        <v>3</v>
      </c>
      <c r="D10" s="34">
        <f>IF(((AND(C68&gt;0,C10&gt;0))),(C10/(C68)),0)</f>
        <v>9.0909090909090899</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v>
      </c>
      <c r="P10" s="42">
        <f t="shared" si="4"/>
        <v>3</v>
      </c>
      <c r="Q10" s="42">
        <f>(C$68*L68)-C10</f>
        <v>30</v>
      </c>
      <c r="R10" s="42">
        <f t="shared" si="5"/>
        <v>35</v>
      </c>
      <c r="S10" s="30">
        <f t="shared" si="6"/>
        <v>1260</v>
      </c>
      <c r="T10" s="30">
        <f t="shared" si="7"/>
        <v>6336</v>
      </c>
      <c r="U10" s="31">
        <f t="shared" si="8"/>
        <v>0.19886363636363635</v>
      </c>
    </row>
    <row r="11" spans="2:21" ht="18" customHeight="1" x14ac:dyDescent="0.25">
      <c r="B11" s="32" t="str">
        <f>'Data Entry'!A11</f>
        <v>6. Cases Petitioned (Charge Filed)</v>
      </c>
      <c r="C11" s="33">
        <f>'Data Entry'!C11</f>
        <v>23</v>
      </c>
      <c r="D11" s="34">
        <f>IF(((AND(C68&gt;0,C11&gt;0))),(C11/(C68)),0)</f>
        <v>69.696969696969688</v>
      </c>
      <c r="E11" s="33">
        <f>'Data Entry'!J11</f>
        <v>0</v>
      </c>
      <c r="F11" s="34">
        <f>IF(((AND($E$11&gt;0,$D$68&gt;0))),($E$11/($D$68)),0)</f>
        <v>0</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0</v>
      </c>
      <c r="O11" s="42">
        <f>(D$68*L68)-E11</f>
        <v>2</v>
      </c>
      <c r="P11" s="42">
        <f t="shared" si="4"/>
        <v>23</v>
      </c>
      <c r="Q11" s="42">
        <f>(C$68*L68)-C11</f>
        <v>10</v>
      </c>
      <c r="R11" s="42">
        <f t="shared" si="5"/>
        <v>35</v>
      </c>
      <c r="S11" s="30">
        <f t="shared" si="6"/>
        <v>74060</v>
      </c>
      <c r="T11" s="30">
        <f t="shared" si="7"/>
        <v>18216</v>
      </c>
      <c r="U11" s="31">
        <f t="shared" si="8"/>
        <v>4.0656565656565657</v>
      </c>
    </row>
    <row r="12" spans="2:21" ht="18" customHeight="1" x14ac:dyDescent="0.25">
      <c r="B12" s="32" t="str">
        <f>'Data Entry'!A12</f>
        <v>7. Cases Resulting in Delinquent Findings</v>
      </c>
      <c r="C12" s="33">
        <f>'Data Entry'!C12</f>
        <v>16</v>
      </c>
      <c r="D12" s="34">
        <f>IF(((AND(C69&gt;0,C12&gt;0))),(C12/(C69)),0)</f>
        <v>69.565217391304344</v>
      </c>
      <c r="E12" s="33">
        <f>'Data Entry'!J12</f>
        <v>1</v>
      </c>
      <c r="F12" s="34">
        <f>IF(((AND($D$69&gt;0,$E$12&gt;0))),(E12/(D69)),0)</f>
        <v>0</v>
      </c>
      <c r="G12" s="39" t="str">
        <f t="shared" si="0"/>
        <v>--</v>
      </c>
      <c r="H12" s="40"/>
      <c r="I12" s="41"/>
      <c r="J12" s="40" t="e">
        <f>IF((ABS($U12)&gt;Defaults!D$7),1,2)</f>
        <v>#DIV/0!</v>
      </c>
      <c r="K12" s="39">
        <f>IF((AND(N12&gt;Defaults!B$12,(N12+O12)&gt;Defaults!B$13, P12 &gt; Defaults!B$12, (P12+Q12) &gt; Defaults!B$13)),1,20)</f>
        <v>20</v>
      </c>
      <c r="L12" s="1" t="e">
        <f t="shared" si="1"/>
        <v>#DIV/0!</v>
      </c>
      <c r="M12" s="1" t="b">
        <f t="shared" si="2"/>
        <v>0</v>
      </c>
      <c r="N12" s="42">
        <f t="shared" si="3"/>
        <v>1</v>
      </c>
      <c r="O12" s="42">
        <f>(D69*L69)-E12</f>
        <v>-1</v>
      </c>
      <c r="P12" s="42">
        <f t="shared" si="4"/>
        <v>16</v>
      </c>
      <c r="Q12" s="42">
        <f>(C69*L69)-C12</f>
        <v>7</v>
      </c>
      <c r="R12" s="42">
        <f t="shared" si="5"/>
        <v>23</v>
      </c>
      <c r="S12" s="30">
        <f t="shared" si="6"/>
        <v>12167</v>
      </c>
      <c r="T12" s="30">
        <f t="shared" si="7"/>
        <v>0</v>
      </c>
      <c r="U12" s="31" t="e">
        <f t="shared" si="8"/>
        <v>#DIV/0!</v>
      </c>
    </row>
    <row r="13" spans="2:21" ht="18" customHeight="1" x14ac:dyDescent="0.25">
      <c r="B13" s="32" t="str">
        <f>'Data Entry'!A13</f>
        <v>8. Cases Resulting in Probation Placement</v>
      </c>
      <c r="C13" s="33">
        <f>'Data Entry'!C13</f>
        <v>27</v>
      </c>
      <c r="D13" s="34">
        <f>IF(((AND(C70&gt;0,C13&gt;0))),(C13/(C70)),0)</f>
        <v>168.75</v>
      </c>
      <c r="E13" s="33">
        <f>'Data Entry'!J13</f>
        <v>2</v>
      </c>
      <c r="F13" s="34">
        <f>IF(((AND($D$70&gt;0,$E$13&gt;0))),($E$13/($D$70)),0)</f>
        <v>200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-1</v>
      </c>
      <c r="P13" s="42">
        <f t="shared" si="4"/>
        <v>27</v>
      </c>
      <c r="Q13" s="42">
        <f>(C70*L70)-C13</f>
        <v>-11</v>
      </c>
      <c r="R13" s="42">
        <f t="shared" si="5"/>
        <v>17</v>
      </c>
      <c r="S13" s="30">
        <f t="shared" si="6"/>
        <v>425</v>
      </c>
      <c r="T13" s="30">
        <f t="shared" si="7"/>
        <v>-5568</v>
      </c>
      <c r="U13" s="31">
        <f t="shared" si="8"/>
        <v>-7.6329022988505746E-2</v>
      </c>
    </row>
    <row r="14" spans="2:21" ht="30.75" customHeight="1" x14ac:dyDescent="0.25">
      <c r="B14" s="32" t="str">
        <f>'Data Entry'!A14</f>
        <v xml:space="preserve">9. Cases Resulting in Confinement in Secure Juvenile Correctional Facilities </v>
      </c>
      <c r="C14" s="33">
        <f>'Data Entry'!C14</f>
        <v>3</v>
      </c>
      <c r="D14" s="34">
        <f>IF(((AND(C70&gt;0,C14&gt;0))), ((C14/(C70))),0)</f>
        <v>18.75</v>
      </c>
      <c r="E14" s="33">
        <f>'Data Entry'!J14</f>
        <v>1</v>
      </c>
      <c r="F14" s="34">
        <f>IF(((AND($D$70&gt;0,$E$14&gt;0))), (($E$14/($D$70))),0)</f>
        <v>100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0</v>
      </c>
      <c r="P14" s="42">
        <f t="shared" si="4"/>
        <v>3</v>
      </c>
      <c r="Q14" s="42">
        <f>(C70*L70)-C14</f>
        <v>13</v>
      </c>
      <c r="R14" s="42">
        <f t="shared" si="5"/>
        <v>17</v>
      </c>
      <c r="S14" s="30">
        <f t="shared" si="6"/>
        <v>2873</v>
      </c>
      <c r="T14" s="30">
        <f t="shared" si="7"/>
        <v>832</v>
      </c>
      <c r="U14" s="31">
        <f t="shared" si="8"/>
        <v>3.453125</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1.879</v>
      </c>
      <c r="D42" s="56">
        <f>E6/1000</f>
        <v>0.14199999999999999</v>
      </c>
      <c r="E42" s="56">
        <f>MAX(C42:D42)</f>
        <v>1.879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0.33</v>
      </c>
      <c r="D44" s="56">
        <f>E8/100</f>
        <v>0.02</v>
      </c>
      <c r="E44" s="56">
        <f>MAX(C44:D44,0)</f>
        <v>0.33</v>
      </c>
      <c r="G44" s="1" t="str">
        <f>B44</f>
        <v>per 100 referrals</v>
      </c>
      <c r="L44" s="57">
        <v>100</v>
      </c>
      <c r="M44" s="57"/>
      <c r="R44" s="49"/>
    </row>
    <row r="45" spans="2:18" ht="15" hidden="1" customHeight="1" x14ac:dyDescent="0.25">
      <c r="B45" s="49" t="s">
        <v>89</v>
      </c>
      <c r="C45" s="49">
        <f>C11/100</f>
        <v>0.23</v>
      </c>
      <c r="D45" s="49">
        <f>E11/100</f>
        <v>0</v>
      </c>
      <c r="E45" s="56">
        <f>MAX(C45:D45,0)</f>
        <v>0.23</v>
      </c>
      <c r="G45" s="1" t="str">
        <f>B45</f>
        <v>per 100 youth petitioned</v>
      </c>
      <c r="L45" s="57">
        <v>100</v>
      </c>
      <c r="M45" s="57"/>
      <c r="R45" s="49"/>
    </row>
    <row r="46" spans="2:18" ht="15" hidden="1" customHeight="1" x14ac:dyDescent="0.25">
      <c r="B46" s="49" t="s">
        <v>90</v>
      </c>
      <c r="C46" s="49">
        <f>C12/100</f>
        <v>0.16</v>
      </c>
      <c r="D46" s="49">
        <f>E12/100</f>
        <v>0.01</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1.879</v>
      </c>
      <c r="D48" s="56">
        <f>D42</f>
        <v>0.14199999999999999</v>
      </c>
      <c r="E48" s="56">
        <f>MAX(C48:D48)</f>
        <v>1.879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1.879</v>
      </c>
      <c r="D49" s="49">
        <f t="shared" si="9"/>
        <v>0.14199999999999999</v>
      </c>
      <c r="E49" s="49">
        <f>MAX(C49:D49)</f>
        <v>1.879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0.33</v>
      </c>
      <c r="D50" s="49">
        <f t="shared" si="9"/>
        <v>0.02</v>
      </c>
      <c r="E50" s="49">
        <f>MAX(C50:D50)</f>
        <v>0.33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0.01</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1.879</v>
      </c>
      <c r="D54" s="56">
        <f>D48</f>
        <v>0.14199999999999999</v>
      </c>
      <c r="E54" s="56">
        <f>MAX(C54:D54)</f>
        <v>1.879</v>
      </c>
      <c r="G54" s="1" t="str">
        <f>G48</f>
        <v>per 1000 youth</v>
      </c>
      <c r="L54" s="58">
        <f>L48</f>
        <v>1000</v>
      </c>
      <c r="M54" s="58"/>
    </row>
    <row r="55" spans="2:18" ht="15" hidden="1" customHeight="1" x14ac:dyDescent="0.25">
      <c r="B55" s="49" t="str">
        <f t="shared" ref="B55:D56" si="10">IF(($E49&gt;0),B49,B48)</f>
        <v>per 1000 youth</v>
      </c>
      <c r="C55" s="49">
        <f t="shared" si="10"/>
        <v>1.879</v>
      </c>
      <c r="D55" s="49">
        <f t="shared" si="10"/>
        <v>0.14199999999999999</v>
      </c>
      <c r="E55" s="49">
        <f>MAX(C55:D55)</f>
        <v>1.879</v>
      </c>
      <c r="G55" s="1" t="str">
        <f>G49</f>
        <v>per 100 arrests</v>
      </c>
      <c r="L55" s="58">
        <f>IF(($E49&gt;0),L49,L48)</f>
        <v>1000</v>
      </c>
      <c r="M55" s="58"/>
    </row>
    <row r="56" spans="2:18" ht="15" hidden="1" customHeight="1" x14ac:dyDescent="0.25">
      <c r="B56" s="49" t="str">
        <f t="shared" si="10"/>
        <v>per 100 referrals</v>
      </c>
      <c r="C56" s="49">
        <f t="shared" si="10"/>
        <v>0.33</v>
      </c>
      <c r="D56" s="49">
        <f t="shared" si="10"/>
        <v>0.02</v>
      </c>
      <c r="E56" s="49">
        <f>MAX(C56:D56)</f>
        <v>0.33</v>
      </c>
      <c r="G56" s="1" t="str">
        <f>G50</f>
        <v>per 100 referrals</v>
      </c>
      <c r="L56" s="58">
        <f>IF(($E50&gt;0),L50,L49)</f>
        <v>100</v>
      </c>
      <c r="M56" s="58"/>
    </row>
    <row r="57" spans="2:18" ht="15" hidden="1" customHeight="1" x14ac:dyDescent="0.25">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0.01</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1.879</v>
      </c>
      <c r="D60" s="56">
        <f>D54</f>
        <v>0.14199999999999999</v>
      </c>
      <c r="E60" s="56">
        <f>MAX(C60:D60)</f>
        <v>1.879</v>
      </c>
      <c r="G60" s="1" t="str">
        <f>G54</f>
        <v>per 1000 youth</v>
      </c>
      <c r="L60" s="58">
        <f>L54</f>
        <v>1000</v>
      </c>
      <c r="M60" s="58"/>
    </row>
    <row r="61" spans="2:18" ht="15" hidden="1" customHeight="1" x14ac:dyDescent="0.25">
      <c r="B61" s="49" t="str">
        <f t="shared" ref="B61:D62" si="11">IF(($E55&gt;0),B55,B54)</f>
        <v>per 1000 youth</v>
      </c>
      <c r="C61" s="49">
        <f t="shared" si="11"/>
        <v>1.879</v>
      </c>
      <c r="D61" s="49">
        <f t="shared" si="11"/>
        <v>0.14199999999999999</v>
      </c>
      <c r="E61" s="49">
        <f>MAX(C61:D61)</f>
        <v>1.879</v>
      </c>
      <c r="G61" s="1" t="str">
        <f>G55</f>
        <v>per 100 arrests</v>
      </c>
      <c r="L61" s="58">
        <f>IF(($E55&gt;0),L55,L54)</f>
        <v>1000</v>
      </c>
      <c r="M61" s="58"/>
    </row>
    <row r="62" spans="2:18" ht="15" hidden="1" customHeight="1" x14ac:dyDescent="0.25">
      <c r="B62" s="49" t="str">
        <f t="shared" si="11"/>
        <v>per 100 referrals</v>
      </c>
      <c r="C62" s="49">
        <f t="shared" si="11"/>
        <v>0.33</v>
      </c>
      <c r="D62" s="49">
        <f t="shared" si="11"/>
        <v>0.02</v>
      </c>
      <c r="E62" s="49">
        <f>MAX(C62:D62)</f>
        <v>0.33</v>
      </c>
      <c r="G62" s="1" t="str">
        <f>G56</f>
        <v>per 100 referrals</v>
      </c>
      <c r="L62" s="58">
        <f>IF(($E56&gt;0),L56,L55)</f>
        <v>100</v>
      </c>
      <c r="M62" s="58"/>
    </row>
    <row r="63" spans="2:18" ht="15" hidden="1" customHeight="1" x14ac:dyDescent="0.25">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0.01</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1.879</v>
      </c>
      <c r="D66" s="56">
        <f>D60</f>
        <v>0.14199999999999999</v>
      </c>
      <c r="E66" s="56">
        <f>MAX(C66:D66)</f>
        <v>1.879</v>
      </c>
      <c r="G66" s="1" t="str">
        <f>G60</f>
        <v>per 1000 youth</v>
      </c>
      <c r="L66" s="58">
        <f>L60</f>
        <v>1000</v>
      </c>
      <c r="M66" s="58">
        <f>IF((B66=G66),1,2)</f>
        <v>1</v>
      </c>
    </row>
    <row r="67" spans="2:13" ht="15" hidden="1" customHeight="1" x14ac:dyDescent="0.25">
      <c r="B67" s="49" t="str">
        <f t="shared" ref="B67:D68" si="12">IF(($E61&gt;0),B61,B60)</f>
        <v>per 1000 youth</v>
      </c>
      <c r="C67" s="49">
        <f t="shared" si="12"/>
        <v>1.879</v>
      </c>
      <c r="D67" s="49">
        <f t="shared" si="12"/>
        <v>0.14199999999999999</v>
      </c>
      <c r="E67" s="49">
        <f>MAX(C67:D67)</f>
        <v>1.879</v>
      </c>
      <c r="G67" s="1" t="str">
        <f>G61</f>
        <v>per 100 arrests</v>
      </c>
      <c r="L67" s="58">
        <f>IF(($E61&gt;0),L61,L60)</f>
        <v>1000</v>
      </c>
      <c r="M67" s="58">
        <f>IF((B67=G67),1,2)</f>
        <v>2</v>
      </c>
    </row>
    <row r="68" spans="2:13" ht="15" hidden="1" customHeight="1" x14ac:dyDescent="0.25">
      <c r="B68" s="49" t="str">
        <f t="shared" si="12"/>
        <v>per 100 referrals</v>
      </c>
      <c r="C68" s="49">
        <f t="shared" si="12"/>
        <v>0.33</v>
      </c>
      <c r="D68" s="49">
        <f t="shared" si="12"/>
        <v>0.02</v>
      </c>
      <c r="E68" s="49">
        <f>MAX(C68:D68)</f>
        <v>0.33</v>
      </c>
      <c r="G68" s="1" t="str">
        <f>G62</f>
        <v>per 100 referrals</v>
      </c>
      <c r="L68" s="58">
        <f>IF(($E62&gt;0),L62,L61)</f>
        <v>100</v>
      </c>
      <c r="M68" s="58">
        <f>IF((B68=G68),1,2)</f>
        <v>1</v>
      </c>
    </row>
    <row r="69" spans="2:13" ht="15" hidden="1" customHeight="1" x14ac:dyDescent="0.25">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0.01</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Charlevoix</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t="e">
        <f>'Black or African-American'!L7</f>
        <v>#VALUE!</v>
      </c>
      <c r="M7" s="1" t="e">
        <f>Hispanic!L7</f>
        <v>#VALUE!</v>
      </c>
      <c r="N7" s="1" t="e">
        <f>Asian!L7</f>
        <v>#VALUE!</v>
      </c>
      <c r="O7" s="1" t="e">
        <f>Hawaiian!L7</f>
        <v>#VALUE!</v>
      </c>
      <c r="P7" s="1" t="e">
        <f>'Am Indian'!L7</f>
        <v>#VALUE!</v>
      </c>
      <c r="Q7" s="1" t="e">
        <f>'Other - Mixed'!L7</f>
        <v>#VALUE!</v>
      </c>
      <c r="R7" s="1" t="e">
        <f>'All Minorities'!L7</f>
        <v>#VALUE!</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139</v>
      </c>
      <c r="M8" s="1">
        <f>Hispanic!L8</f>
        <v>40</v>
      </c>
      <c r="N8" s="1">
        <f>Asian!L8</f>
        <v>40</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139</v>
      </c>
      <c r="M9" s="1" t="e">
        <f>Hispanic!L9</f>
        <v>#VALUE!</v>
      </c>
      <c r="N9" s="1" t="e">
        <f>Asian!L9</f>
        <v>#VALUE!</v>
      </c>
      <c r="O9" s="1" t="e">
        <f>Hawaiian!L9</f>
        <v>#VALUE!</v>
      </c>
      <c r="P9" s="1">
        <f>'Am Indian'!L9</f>
        <v>40</v>
      </c>
      <c r="Q9" s="1" t="e">
        <f>'Other - Mixed'!L9</f>
        <v>#VALUE!</v>
      </c>
      <c r="R9" s="1">
        <f>'All Minorities'!L9</f>
        <v>40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139</v>
      </c>
      <c r="M10" s="1" t="e">
        <f>Hispanic!L10</f>
        <v>#VALUE!</v>
      </c>
      <c r="N10" s="1" t="e">
        <f>Asian!L10</f>
        <v>#VALUE!</v>
      </c>
      <c r="O10" s="1" t="e">
        <f>Hawaiian!L10</f>
        <v>#VALUE!</v>
      </c>
      <c r="P10" s="1">
        <f>'Am Indian'!L10</f>
        <v>40</v>
      </c>
      <c r="Q10" s="1" t="e">
        <f>'Other - Mixed'!L10</f>
        <v>#VALUE!</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139</v>
      </c>
      <c r="M11" s="1" t="e">
        <f>Hispanic!L11</f>
        <v>#VALUE!</v>
      </c>
      <c r="N11" s="1" t="e">
        <f>Asian!L11</f>
        <v>#VALUE!</v>
      </c>
      <c r="O11" s="1" t="e">
        <f>Hawaiian!L11</f>
        <v>#VALUE!</v>
      </c>
      <c r="P11" s="1">
        <f>'Am Indian'!L11</f>
        <v>40</v>
      </c>
      <c r="Q11" s="1" t="e">
        <f>'Other - Mixed'!L11</f>
        <v>#VALUE!</v>
      </c>
      <c r="R11" s="1">
        <f>'All Minorities'!L11</f>
        <v>20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#DIV/0!</v>
      </c>
      <c r="M12" s="1" t="e">
        <f>Hispanic!L12</f>
        <v>#VALUE!</v>
      </c>
      <c r="N12" s="1" t="e">
        <f>Asian!L12</f>
        <v>#VALUE!</v>
      </c>
      <c r="O12" s="1" t="e">
        <f>Hawaiian!L12</f>
        <v>#VALUE!</v>
      </c>
      <c r="P12" s="1" t="e">
        <f>'Am Indian'!L12</f>
        <v>#VALUE!</v>
      </c>
      <c r="Q12" s="1" t="e">
        <f>'Other - Mixed'!L12</f>
        <v>#VALUE!</v>
      </c>
      <c r="R12" s="1" t="e">
        <f>'All Minorities'!L12</f>
        <v>#DIV/0!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139</v>
      </c>
      <c r="M13" s="1" t="e">
        <f>Hispanic!L13</f>
        <v>#VALUE!</v>
      </c>
      <c r="N13" s="1" t="e">
        <f>Asian!L13</f>
        <v>#VALUE!</v>
      </c>
      <c r="O13" s="1" t="e">
        <f>Hawaiian!L13</f>
        <v>#VALUE!</v>
      </c>
      <c r="P13" s="1" t="e">
        <f>'Am Indian'!L13</f>
        <v>#DIV/0!</v>
      </c>
      <c r="Q13" s="1" t="e">
        <f>'Other - Mixed'!L13</f>
        <v>#VALUE!</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139</v>
      </c>
      <c r="M14" s="1" t="e">
        <f>Hispanic!L14</f>
        <v>#VALUE!</v>
      </c>
      <c r="N14" s="1" t="e">
        <f>Asian!L14</f>
        <v>#VALUE!</v>
      </c>
      <c r="O14" s="1" t="e">
        <f>Hawaiian!L14</f>
        <v>#VALUE!</v>
      </c>
      <c r="P14" s="1" t="e">
        <f>'Am Indian'!L14</f>
        <v>#VALUE!</v>
      </c>
      <c r="Q14" s="1" t="e">
        <f>'Other - Mixed'!L14</f>
        <v>#VALUE!</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No</v>
      </c>
      <c r="D16" s="75" t="str">
        <f>'Data Entry'!$E$16</f>
        <v>Yes</v>
      </c>
      <c r="E16" s="75" t="str">
        <f>'Data Entry'!F16</f>
        <v>Yes</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2021</v>
      </c>
      <c r="D3" s="57">
        <f>'Data Entry'!C6</f>
        <v>1879</v>
      </c>
      <c r="E3" s="57">
        <f>'Data Entry'!D6</f>
        <v>19</v>
      </c>
      <c r="F3" s="57">
        <f>'Data Entry'!E6</f>
        <v>71</v>
      </c>
      <c r="G3" s="57">
        <f>'Data Entry'!F6</f>
        <v>26</v>
      </c>
      <c r="H3" s="57">
        <f>'Data Entry'!G6</f>
        <v>0</v>
      </c>
      <c r="I3" s="57">
        <f>'Data Entry'!H6</f>
        <v>26</v>
      </c>
      <c r="J3" s="57">
        <f>'Data Entry'!I6</f>
        <v>0</v>
      </c>
      <c r="K3" s="57">
        <f>'Data Entry'!J6</f>
        <v>142</v>
      </c>
    </row>
    <row r="4" spans="2:11" ht="15" customHeight="1" x14ac:dyDescent="0.25">
      <c r="B4" s="16" t="s">
        <v>8</v>
      </c>
      <c r="C4" s="1">
        <f>IF((C$3&gt;0),(1000*('Data Entry'!B7/'Data Entry'!B$6)), 0)</f>
        <v>0</v>
      </c>
      <c r="D4" s="1">
        <f>IF((D$3&gt;0),(1000*('Data Entry'!C7/'Data Entry'!C$6)), 0)</f>
        <v>0</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17.318159327065807</v>
      </c>
      <c r="D5" s="1">
        <f>IF((D$3&gt;0),(1000*('Data Entry'!C8/'Data Entry'!C$6)), 0)</f>
        <v>17.562533262373602</v>
      </c>
      <c r="E5" s="1">
        <f>IF((E$3&gt;0),(1000*('Data Entry'!D8/'Data Entry'!D$6)), 0)</f>
        <v>52.631578947368418</v>
      </c>
      <c r="F5" s="1">
        <f>IF((F$3&gt;0),(1000*('Data Entry'!E8/'Data Entry'!E$6)), 0)</f>
        <v>0</v>
      </c>
      <c r="G5" s="1">
        <f>IF((G$3&gt;0),(1000*('Data Entry'!F8/'Data Entry'!F$6)), 0)</f>
        <v>0</v>
      </c>
      <c r="H5" s="1">
        <f>IF((H$3&gt;0),(1000*('Data Entry'!G8/'Data Entry'!G$6)), 0)</f>
        <v>0</v>
      </c>
      <c r="I5" s="1">
        <f>IF((I$3&gt;0),(1000*('Data Entry'!H8/'Data Entry'!H$6)), 0)</f>
        <v>38.461538461538467</v>
      </c>
      <c r="J5" s="1">
        <f>IF((J$3&gt;0),(1000*('Data Entry'!I8/'Data Entry'!I$6)), 0)</f>
        <v>0</v>
      </c>
      <c r="K5" s="1">
        <f>IF((K$3&gt;0),(1000*('Data Entry'!J8/'Data Entry'!J$6)), 0)</f>
        <v>14.084507042253522</v>
      </c>
    </row>
    <row r="6" spans="2:11" ht="15" customHeight="1" x14ac:dyDescent="0.25">
      <c r="B6" s="16" t="s">
        <v>10</v>
      </c>
      <c r="C6" s="1">
        <f>IF((C$3&gt;0),(1000*('Data Entry'!B9/'Data Entry'!B$6)), 0)</f>
        <v>0.4948045522018803</v>
      </c>
      <c r="D6" s="1">
        <f>IF((D$3&gt;0),(1000*('Data Entry'!C9/'Data Entry'!C$6)), 0)</f>
        <v>0.53219797764768495</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1.4844136566056407</v>
      </c>
      <c r="D7" s="1">
        <f>IF((D$3&gt;0),(1000*('Data Entry'!C10/'Data Entry'!C$6)), 0)</f>
        <v>1.5965939329430547</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11.380504700643247</v>
      </c>
      <c r="D8" s="1">
        <f>IF((D$3&gt;0),(1000*('Data Entry'!C11/'Data Entry'!C$6)), 0)</f>
        <v>12.240553485896752</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8.4116773874319648</v>
      </c>
      <c r="D9" s="1">
        <f>IF((D$3&gt;0),(1000*('Data Entry'!C12/'Data Entry'!C$6)), 0)</f>
        <v>8.5151676423629592</v>
      </c>
      <c r="E9" s="1">
        <f>IF((E$3&gt;0),(1000*('Data Entry'!D12/'Data Entry'!D$6)), 0)</f>
        <v>52.631578947368418</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7.042253521126761</v>
      </c>
    </row>
    <row r="10" spans="2:11" ht="15" customHeight="1" x14ac:dyDescent="0.25">
      <c r="B10" s="16" t="s">
        <v>14</v>
      </c>
      <c r="C10" s="1">
        <f>IF((C$3&gt;0),(1000*('Data Entry'!B13/'Data Entry'!B$6)), 0)</f>
        <v>14.349332013854529</v>
      </c>
      <c r="D10" s="1">
        <f>IF((D$3&gt;0),(1000*('Data Entry'!C13/'Data Entry'!C$6)), 0)</f>
        <v>14.369345396487493</v>
      </c>
      <c r="E10" s="1">
        <f>IF((E$3&gt;0),(1000*('Data Entry'!D13/'Data Entry'!D$6)), 0)</f>
        <v>52.631578947368418</v>
      </c>
      <c r="F10" s="1">
        <f>IF((F$3&gt;0),(1000*('Data Entry'!E13/'Data Entry'!E$6)), 0)</f>
        <v>0</v>
      </c>
      <c r="G10" s="1">
        <f>IF((G$3&gt;0),(1000*('Data Entry'!F13/'Data Entry'!F$6)), 0)</f>
        <v>0</v>
      </c>
      <c r="H10" s="1">
        <f>IF((H$3&gt;0),(1000*('Data Entry'!G13/'Data Entry'!G$6)), 0)</f>
        <v>0</v>
      </c>
      <c r="I10" s="1">
        <f>IF((I$3&gt;0),(1000*('Data Entry'!H13/'Data Entry'!H$6)), 0)</f>
        <v>38.461538461538467</v>
      </c>
      <c r="J10" s="1">
        <f>IF((J$3&gt;0),(1000*('Data Entry'!I13/'Data Entry'!I$6)), 0)</f>
        <v>0</v>
      </c>
      <c r="K10" s="1">
        <f>IF((K$3&gt;0),(1000*('Data Entry'!J13/'Data Entry'!J$6)), 0)</f>
        <v>14.084507042253522</v>
      </c>
    </row>
    <row r="11" spans="2:11" ht="25.5" customHeight="1" x14ac:dyDescent="0.25">
      <c r="B11" s="16" t="s">
        <v>15</v>
      </c>
      <c r="C11" s="1">
        <f>IF((C$3&gt;0),(1000*('Data Entry'!B14/'Data Entry'!B$6)), 0)</f>
        <v>1.9792182088075212</v>
      </c>
      <c r="D11" s="1">
        <f>IF((D$3&gt;0),(1000*('Data Entry'!C14/'Data Entry'!C$6)), 0)</f>
        <v>1.5965939329430547</v>
      </c>
      <c r="E11" s="1">
        <f>IF((E$3&gt;0),(1000*('Data Entry'!D14/'Data Entry'!D$6)), 0)</f>
        <v>52.631578947368418</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7.042253521126761</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Charlevoix</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t="str">
        <f>IF(AND(($D4&gt;0),(D4&gt;0)), (D4/$D4),"--")</f>
        <v>--</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f t="shared" si="2"/>
        <v>2.996810207336523</v>
      </c>
      <c r="E20" s="72" t="str">
        <f t="shared" si="2"/>
        <v>--</v>
      </c>
      <c r="F20" s="72" t="str">
        <f t="shared" si="2"/>
        <v>--</v>
      </c>
      <c r="G20" s="72" t="str">
        <f t="shared" si="2"/>
        <v>--</v>
      </c>
      <c r="H20" s="72">
        <f t="shared" si="2"/>
        <v>2.1899766899766906</v>
      </c>
      <c r="I20" s="72" t="str">
        <f t="shared" si="2"/>
        <v>--</v>
      </c>
      <c r="J20" s="73">
        <f t="shared" si="2"/>
        <v>0.80196329492104146</v>
      </c>
    </row>
    <row r="21" spans="2:10" ht="15" customHeight="1" x14ac:dyDescent="0.25">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f t="shared" si="2"/>
        <v>6.1809210526315788</v>
      </c>
      <c r="E24" s="72" t="str">
        <f t="shared" si="2"/>
        <v>--</v>
      </c>
      <c r="F24" s="72" t="str">
        <f t="shared" si="2"/>
        <v>--</v>
      </c>
      <c r="G24" s="72" t="str">
        <f t="shared" si="2"/>
        <v>--</v>
      </c>
      <c r="H24" s="72" t="str">
        <f t="shared" si="2"/>
        <v>--</v>
      </c>
      <c r="I24" s="72" t="str">
        <f t="shared" si="2"/>
        <v>--</v>
      </c>
      <c r="J24" s="73">
        <f t="shared" si="2"/>
        <v>0.82702464788732399</v>
      </c>
    </row>
    <row r="25" spans="2:10" ht="15" customHeight="1" x14ac:dyDescent="0.25">
      <c r="B25" s="71" t="s">
        <v>14</v>
      </c>
      <c r="C25" s="72">
        <f t="shared" si="2"/>
        <v>1</v>
      </c>
      <c r="D25" s="72">
        <f t="shared" si="2"/>
        <v>3.6627680311890836</v>
      </c>
      <c r="E25" s="72" t="str">
        <f t="shared" si="2"/>
        <v>--</v>
      </c>
      <c r="F25" s="72" t="str">
        <f t="shared" si="2"/>
        <v>--</v>
      </c>
      <c r="G25" s="72" t="str">
        <f t="shared" si="2"/>
        <v>--</v>
      </c>
      <c r="H25" s="72">
        <f t="shared" si="2"/>
        <v>2.676638176638177</v>
      </c>
      <c r="I25" s="72" t="str">
        <f t="shared" si="2"/>
        <v>--</v>
      </c>
      <c r="J25" s="73">
        <f t="shared" si="2"/>
        <v>0.98017736045905068</v>
      </c>
    </row>
    <row r="26" spans="2:10" ht="25.5" customHeight="1" x14ac:dyDescent="0.25">
      <c r="B26" s="71" t="s">
        <v>15</v>
      </c>
      <c r="C26" s="72">
        <f t="shared" si="2"/>
        <v>1</v>
      </c>
      <c r="D26" s="72">
        <f t="shared" si="2"/>
        <v>32.964912280701753</v>
      </c>
      <c r="E26" s="72" t="str">
        <f t="shared" si="2"/>
        <v>--</v>
      </c>
      <c r="F26" s="72" t="str">
        <f t="shared" si="2"/>
        <v>--</v>
      </c>
      <c r="G26" s="72" t="str">
        <f t="shared" si="2"/>
        <v>--</v>
      </c>
      <c r="H26" s="72" t="str">
        <f t="shared" si="2"/>
        <v>--</v>
      </c>
      <c r="I26" s="72" t="str">
        <f t="shared" si="2"/>
        <v>--</v>
      </c>
      <c r="J26" s="73">
        <f t="shared" si="2"/>
        <v>4.410798122065728</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No</v>
      </c>
      <c r="E28" s="87" t="str">
        <f>Summary!D16</f>
        <v>Yes</v>
      </c>
      <c r="F28" s="87" t="str">
        <f>Summary!E16</f>
        <v>Yes</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Charlevoix</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1879</v>
      </c>
      <c r="D7" s="105">
        <f>'Data Entry'!D6</f>
        <v>19</v>
      </c>
      <c r="E7" s="106"/>
      <c r="F7" s="107">
        <f>'Data Entry'!E6</f>
        <v>71</v>
      </c>
      <c r="G7" s="106"/>
      <c r="H7" s="107">
        <f>'Data Entry'!F6</f>
        <v>26</v>
      </c>
      <c r="I7" s="106"/>
      <c r="J7" s="107">
        <f>'Data Entry'!G6</f>
        <v>0</v>
      </c>
      <c r="K7" s="106"/>
      <c r="L7" s="107">
        <f>'Data Entry'!H6</f>
        <v>26</v>
      </c>
      <c r="M7" s="106"/>
      <c r="N7" s="107">
        <f>'Data Entry'!I6</f>
        <v>0</v>
      </c>
      <c r="O7" s="106"/>
      <c r="P7" s="107">
        <f>'Data Entry'!J6</f>
        <v>142</v>
      </c>
      <c r="Q7" s="108"/>
    </row>
    <row r="8" spans="2:26" s="1" customFormat="1" ht="15" customHeight="1" x14ac:dyDescent="0.3">
      <c r="B8" s="149" t="s">
        <v>8</v>
      </c>
      <c r="C8" s="104">
        <f>'Data Entry'!C7</f>
        <v>0</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t="e">
        <f>'Black or African-American'!L7</f>
        <v>#VALUE!</v>
      </c>
      <c r="U8" s="1" t="e">
        <f>Hispanic!L7</f>
        <v>#VALUE!</v>
      </c>
      <c r="V8" s="1" t="e">
        <f>Asian!L7</f>
        <v>#VALUE!</v>
      </c>
      <c r="W8" s="1" t="e">
        <f>Hawaiian!L7</f>
        <v>#VALUE!</v>
      </c>
      <c r="X8" s="1" t="e">
        <f>'Am Indian'!L7</f>
        <v>#VALUE!</v>
      </c>
      <c r="Y8" s="1" t="e">
        <f>'Other - Mixed'!L7</f>
        <v>#VALUE!</v>
      </c>
      <c r="Z8" s="1" t="e">
        <f>'All Minorities'!L7</f>
        <v>#VALUE!</v>
      </c>
    </row>
    <row r="9" spans="2:26" s="1" customFormat="1" ht="15" customHeight="1" x14ac:dyDescent="0.3">
      <c r="B9" s="149" t="s">
        <v>134</v>
      </c>
      <c r="C9" s="104">
        <f>'Data Entry'!C8</f>
        <v>33</v>
      </c>
      <c r="D9" s="109">
        <f>'Data Entry'!D8</f>
        <v>1</v>
      </c>
      <c r="E9" s="110" t="str">
        <f>'Black or African-American'!$G8</f>
        <v>*</v>
      </c>
      <c r="F9" s="111">
        <f>'Data Entry'!E8</f>
        <v>0</v>
      </c>
      <c r="G9" s="110" t="str">
        <f>Hispanic!G8</f>
        <v>**</v>
      </c>
      <c r="H9" s="111">
        <f>'Data Entry'!F8</f>
        <v>0</v>
      </c>
      <c r="I9" s="110" t="str">
        <f>Asian!G8</f>
        <v>**</v>
      </c>
      <c r="J9" s="111">
        <f>'Data Entry'!G8</f>
        <v>0</v>
      </c>
      <c r="K9" s="110" t="str">
        <f>Hawaiian!G8</f>
        <v>*</v>
      </c>
      <c r="L9" s="111">
        <f>'Data Entry'!H8</f>
        <v>1</v>
      </c>
      <c r="M9" s="110" t="str">
        <f>'Am Indian'!G8</f>
        <v>**</v>
      </c>
      <c r="N9" s="111">
        <f>'Data Entry'!I8</f>
        <v>0</v>
      </c>
      <c r="O9" s="110" t="str">
        <f>'Other - Mixed'!G8</f>
        <v>*</v>
      </c>
      <c r="P9" s="111">
        <f>'Data Entry'!J8</f>
        <v>2</v>
      </c>
      <c r="Q9" s="112" t="str">
        <f>'All Minorities'!G8</f>
        <v>**</v>
      </c>
      <c r="R9"/>
      <c r="T9" s="1">
        <f>'Black or African-American'!L8</f>
        <v>139</v>
      </c>
      <c r="U9" s="1">
        <f>Hispanic!L8</f>
        <v>40</v>
      </c>
      <c r="V9" s="1">
        <f>Asian!L8</f>
        <v>40</v>
      </c>
      <c r="W9" s="1">
        <f>Hawaiian!L8</f>
        <v>139</v>
      </c>
      <c r="X9" s="1">
        <f>'Am Indian'!L8</f>
        <v>40</v>
      </c>
      <c r="Y9" s="1">
        <f>'Other - Mixed'!L8</f>
        <v>139</v>
      </c>
      <c r="Z9" s="1">
        <f>'All Minorities'!L8</f>
        <v>40</v>
      </c>
    </row>
    <row r="10" spans="2:26" s="1" customFormat="1" ht="15" customHeight="1" x14ac:dyDescent="0.3">
      <c r="B10" s="149" t="s">
        <v>10</v>
      </c>
      <c r="C10" s="104">
        <f>'Data Entry'!C9</f>
        <v>1</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f>'Black or African-American'!L9</f>
        <v>139</v>
      </c>
      <c r="U10" s="1" t="e">
        <f>Hispanic!L9</f>
        <v>#VALUE!</v>
      </c>
      <c r="V10" s="1" t="e">
        <f>Asian!L9</f>
        <v>#VALUE!</v>
      </c>
      <c r="W10" s="1" t="e">
        <f>Hawaiian!L9</f>
        <v>#VALUE!</v>
      </c>
      <c r="X10" s="1">
        <f>'Am Indian'!L9</f>
        <v>40</v>
      </c>
      <c r="Y10" s="1" t="e">
        <f>'Other - Mixed'!L9</f>
        <v>#VALUE!</v>
      </c>
      <c r="Z10" s="1">
        <f>'All Minorities'!L9</f>
        <v>40</v>
      </c>
    </row>
    <row r="11" spans="2:26" s="1" customFormat="1" ht="15" customHeight="1" x14ac:dyDescent="0.3">
      <c r="B11" s="149" t="s">
        <v>11</v>
      </c>
      <c r="C11" s="104">
        <f>'Data Entry'!C10</f>
        <v>3</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f>'Black or African-American'!L10</f>
        <v>139</v>
      </c>
      <c r="U11" s="1" t="e">
        <f>Hispanic!L10</f>
        <v>#VALUE!</v>
      </c>
      <c r="V11" s="1" t="e">
        <f>Asian!L10</f>
        <v>#VALUE!</v>
      </c>
      <c r="W11" s="1" t="e">
        <f>Hawaiian!L10</f>
        <v>#VALUE!</v>
      </c>
      <c r="X11" s="1">
        <f>'Am Indian'!L10</f>
        <v>40</v>
      </c>
      <c r="Y11" s="1" t="e">
        <f>'Other - Mixed'!L10</f>
        <v>#VALUE!</v>
      </c>
      <c r="Z11" s="1">
        <f>'All Minorities'!L10</f>
        <v>40</v>
      </c>
    </row>
    <row r="12" spans="2:26" s="1" customFormat="1" ht="15" customHeight="1" x14ac:dyDescent="0.3">
      <c r="B12" s="149" t="s">
        <v>95</v>
      </c>
      <c r="C12" s="104">
        <f>'Data Entry'!C11</f>
        <v>23</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f>'Black or African-American'!L11</f>
        <v>139</v>
      </c>
      <c r="U12" s="1" t="e">
        <f>Hispanic!L11</f>
        <v>#VALUE!</v>
      </c>
      <c r="V12" s="1" t="e">
        <f>Asian!L11</f>
        <v>#VALUE!</v>
      </c>
      <c r="W12" s="1" t="e">
        <f>Hawaiian!L11</f>
        <v>#VALUE!</v>
      </c>
      <c r="X12" s="1">
        <f>'Am Indian'!L11</f>
        <v>40</v>
      </c>
      <c r="Y12" s="1" t="e">
        <f>'Other - Mixed'!L11</f>
        <v>#VALUE!</v>
      </c>
      <c r="Z12" s="1">
        <f>'All Minorities'!L11</f>
        <v>20</v>
      </c>
    </row>
    <row r="13" spans="2:26" s="1" customFormat="1" ht="15" customHeight="1" x14ac:dyDescent="0.3">
      <c r="B13" s="149" t="s">
        <v>13</v>
      </c>
      <c r="C13" s="104">
        <f>'Data Entry'!C12</f>
        <v>16</v>
      </c>
      <c r="D13" s="109">
        <f>'Data Entry'!D12</f>
        <v>1</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1</v>
      </c>
      <c r="Q13" s="112" t="str">
        <f>'All Minorities'!G12</f>
        <v>--</v>
      </c>
      <c r="R13"/>
      <c r="T13" s="1" t="e">
        <f>'Black or African-American'!L12</f>
        <v>#DIV/0!</v>
      </c>
      <c r="U13" s="1" t="e">
        <f>Hispanic!L12</f>
        <v>#VALUE!</v>
      </c>
      <c r="V13" s="1" t="e">
        <f>Asian!L12</f>
        <v>#VALUE!</v>
      </c>
      <c r="W13" s="1" t="e">
        <f>Hawaiian!L12</f>
        <v>#VALUE!</v>
      </c>
      <c r="X13" s="1" t="e">
        <f>'Am Indian'!L12</f>
        <v>#VALUE!</v>
      </c>
      <c r="Y13" s="1" t="e">
        <f>'Other - Mixed'!L12</f>
        <v>#VALUE!</v>
      </c>
      <c r="Z13" s="1" t="e">
        <f>'All Minorities'!L12</f>
        <v>#DIV/0!</v>
      </c>
    </row>
    <row r="14" spans="2:26" s="1" customFormat="1" ht="15" customHeight="1" x14ac:dyDescent="0.3">
      <c r="B14" s="149" t="s">
        <v>133</v>
      </c>
      <c r="C14" s="104">
        <f>'Data Entry'!C13</f>
        <v>27</v>
      </c>
      <c r="D14" s="113">
        <f>'Data Entry'!D13</f>
        <v>1</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1</v>
      </c>
      <c r="M14" s="114" t="str">
        <f>'Am Indian'!G13</f>
        <v>--</v>
      </c>
      <c r="N14" s="115">
        <f>'Data Entry'!I13</f>
        <v>0</v>
      </c>
      <c r="O14" s="114" t="str">
        <f>'Other - Mixed'!G13</f>
        <v>*</v>
      </c>
      <c r="P14" s="115">
        <f>'Data Entry'!J13</f>
        <v>2</v>
      </c>
      <c r="Q14" s="116" t="str">
        <f>'All Minorities'!G13</f>
        <v>**</v>
      </c>
      <c r="R14"/>
      <c r="T14" s="1">
        <f>'Black or African-American'!L13</f>
        <v>139</v>
      </c>
      <c r="U14" s="1" t="e">
        <f>Hispanic!L13</f>
        <v>#VALUE!</v>
      </c>
      <c r="V14" s="1" t="e">
        <f>Asian!L13</f>
        <v>#VALUE!</v>
      </c>
      <c r="W14" s="1" t="e">
        <f>Hawaiian!L13</f>
        <v>#VALUE!</v>
      </c>
      <c r="X14" s="1" t="e">
        <f>'Am Indian'!L13</f>
        <v>#DIV/0!</v>
      </c>
      <c r="Y14" s="1" t="e">
        <f>'Other - Mixed'!L13</f>
        <v>#VALUE!</v>
      </c>
      <c r="Z14" s="1">
        <f>'All Minorities'!L13</f>
        <v>40</v>
      </c>
    </row>
    <row r="15" spans="2:26" s="1" customFormat="1" ht="33" x14ac:dyDescent="0.3">
      <c r="B15" s="151" t="s">
        <v>123</v>
      </c>
      <c r="C15" s="104">
        <f>'Data Entry'!C14</f>
        <v>3</v>
      </c>
      <c r="D15" s="109">
        <f>'Data Entry'!D14</f>
        <v>1</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1</v>
      </c>
      <c r="Q15" s="112" t="str">
        <f>'All Minorities'!G14</f>
        <v>**</v>
      </c>
      <c r="R15"/>
      <c r="T15" s="1">
        <f>'Black or African-American'!L14</f>
        <v>139</v>
      </c>
      <c r="U15" s="1" t="e">
        <f>Hispanic!L14</f>
        <v>#VALUE!</v>
      </c>
      <c r="V15" s="1" t="e">
        <f>Asian!L14</f>
        <v>#VALUE!</v>
      </c>
      <c r="W15" s="1" t="e">
        <f>Hawaiian!L14</f>
        <v>#VALUE!</v>
      </c>
      <c r="X15" s="1" t="e">
        <f>'Am Indian'!L14</f>
        <v>#VALUE!</v>
      </c>
      <c r="Y15" s="1" t="e">
        <f>'Other - Mixed'!L14</f>
        <v>#VALUE!</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No</v>
      </c>
      <c r="F17" s="133"/>
      <c r="G17" s="146" t="str">
        <f>'Data Entry'!$E$16</f>
        <v>Yes</v>
      </c>
      <c r="H17" s="133"/>
      <c r="I17" s="146" t="str">
        <f>'Data Entry'!F16</f>
        <v>Yes</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Charlevoix</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Charlevoix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13.232394366197182</v>
      </c>
    </row>
    <row r="8" spans="1:12" ht="25.5" customHeight="1" x14ac:dyDescent="0.2">
      <c r="A8" s="158" t="str">
        <f>CONCATENATE("Confinement, total N=", 'Data Entry'!B14)</f>
        <v>Confinement, total N=4</v>
      </c>
      <c r="B8" s="157">
        <f>'Data Entry'!D14/'Data Entry'!B14</f>
        <v>0.25</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0.75</v>
      </c>
      <c r="K8" s="97" t="str">
        <f>A8</f>
        <v>Confinement, total N=4</v>
      </c>
      <c r="L8">
        <f>I14/(SUM(B14:G14))</f>
        <v>13.232394366197182</v>
      </c>
    </row>
    <row r="9" spans="1:12" x14ac:dyDescent="0.2">
      <c r="A9" s="132" t="str">
        <f>CONCATENATE("Delinquent Findings, total N=", 'Data Entry'!B12)</f>
        <v>Delinquent Findings, total N=17</v>
      </c>
      <c r="B9" s="157">
        <f>'Data Entry'!D12/'Data Entry'!B12</f>
        <v>5.8823529411764705E-2</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0.94117647058823528</v>
      </c>
      <c r="K9" s="97" t="str">
        <f t="shared" si="0"/>
        <v>Delinquent Findings, total N=17</v>
      </c>
      <c r="L9">
        <f>I14/(SUM(B14:G14))</f>
        <v>13.232394366197182</v>
      </c>
    </row>
    <row r="10" spans="1:12" x14ac:dyDescent="0.2">
      <c r="A10" s="132" t="str">
        <f>CONCATENATE("Petitions, total N=", 'Data Entry'!B11)</f>
        <v>Petitions, total N=23</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1</v>
      </c>
      <c r="K10" s="97" t="str">
        <f t="shared" si="0"/>
        <v>Petitions, total N=23</v>
      </c>
      <c r="L10">
        <f>I14/(SUM(B14:G14))</f>
        <v>13.232394366197182</v>
      </c>
    </row>
    <row r="11" spans="1:12" x14ac:dyDescent="0.2">
      <c r="A11" s="132" t="str">
        <f>CONCATENATE("Detentions, total N=", 'Data Entry'!B10)</f>
        <v>Detentions, total N=3</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1</v>
      </c>
      <c r="K11" s="97" t="str">
        <f t="shared" si="0"/>
        <v>Detentions, total N=3</v>
      </c>
      <c r="L11">
        <f>I14/(SUM(B14:G14))</f>
        <v>13.232394366197182</v>
      </c>
    </row>
    <row r="12" spans="1:12" x14ac:dyDescent="0.2">
      <c r="A12" s="132" t="str">
        <f>CONCATENATE("Referrals, total N=", 'Data Entry'!B8)</f>
        <v>Referrals, total N=35</v>
      </c>
      <c r="B12" s="157">
        <f>'Data Entry'!D8/'Data Entry'!B8</f>
        <v>2.8571428571428571E-2</v>
      </c>
      <c r="C12" s="157">
        <f>'Data Entry'!E8/'Data Entry'!B8</f>
        <v>0</v>
      </c>
      <c r="D12" s="157">
        <f>'Data Entry'!F8/'Data Entry'!B8</f>
        <v>0</v>
      </c>
      <c r="E12" s="157">
        <f>'Data Entry'!G8/'Data Entry'!B8</f>
        <v>0</v>
      </c>
      <c r="F12" s="157">
        <f>'Data Entry'!H8/'Data Entry'!B8</f>
        <v>2.8571428571428571E-2</v>
      </c>
      <c r="G12" s="157">
        <f>'Data Entry'!I8/'Data Entry'!B8</f>
        <v>0</v>
      </c>
      <c r="H12" s="157">
        <f>SUM(D12:G12)/'Data Entry'!B8</f>
        <v>8.1632653061224482E-4</v>
      </c>
      <c r="I12" s="157">
        <f>'Data Entry'!C8/'Data Entry'!B8</f>
        <v>0.94285714285714284</v>
      </c>
      <c r="K12" s="97" t="str">
        <f t="shared" si="0"/>
        <v>Referrals, total N=35</v>
      </c>
      <c r="L12">
        <f>I14/(SUM(B14:G14))</f>
        <v>13.232394366197182</v>
      </c>
    </row>
    <row r="13" spans="1:12" x14ac:dyDescent="0.2">
      <c r="A13" s="132" t="str">
        <f>CONCATENATE("Arrests, total N=", 'Data Entry'!B7)</f>
        <v>Arrests, total N=0</v>
      </c>
      <c r="B13" s="157" t="e">
        <f>'Data Entry'!D7/'Data Entry'!B7</f>
        <v>#DIV/0!</v>
      </c>
      <c r="C13" s="157" t="e">
        <f>'Data Entry'!E7/'Data Entry'!B7</f>
        <v>#DIV/0!</v>
      </c>
      <c r="D13" s="157" t="e">
        <f>'Data Entry'!F7/'Data Entry'!B7</f>
        <v>#DIV/0!</v>
      </c>
      <c r="E13" s="157" t="e">
        <f>'Data Entry'!G7/'Data Entry'!B7</f>
        <v>#DIV/0!</v>
      </c>
      <c r="F13" s="157" t="e">
        <f>'Data Entry'!H7/'Data Entry'!B7</f>
        <v>#DIV/0!</v>
      </c>
      <c r="G13" s="157" t="e">
        <f>'Data Entry'!I7/'Data Entry'!B7</f>
        <v>#DIV/0!</v>
      </c>
      <c r="H13" s="157" t="e">
        <f>SUM(D13:G13)/'Data Entry'!B7</f>
        <v>#DIV/0!</v>
      </c>
      <c r="I13" s="157" t="e">
        <f>'Data Entry'!C7/'Data Entry'!B7</f>
        <v>#DIV/0!</v>
      </c>
      <c r="K13" s="97" t="str">
        <f t="shared" si="0"/>
        <v>Arrests, total N=0</v>
      </c>
      <c r="L13">
        <f>I14/(SUM(B14:G14))</f>
        <v>13.232394366197182</v>
      </c>
    </row>
    <row r="14" spans="1:12" x14ac:dyDescent="0.2">
      <c r="A14" s="132" t="str">
        <f>CONCATENATE("Population, total N=", 'Data Entry'!B6)</f>
        <v>Population, total N=2021</v>
      </c>
      <c r="B14" s="157">
        <f>'Data Entry'!D6/'Data Entry'!B6</f>
        <v>9.4012864918357249E-3</v>
      </c>
      <c r="C14" s="157">
        <f>'Data Entry'!E6/'Data Entry'!B6</f>
        <v>3.5131123206333499E-2</v>
      </c>
      <c r="D14" s="157">
        <f>'Data Entry'!F6/'Data Entry'!B6</f>
        <v>1.2864918357248886E-2</v>
      </c>
      <c r="E14" s="157">
        <f>'Data Entry'!G6/'Data Entry'!B6</f>
        <v>0</v>
      </c>
      <c r="F14" s="157">
        <f>'Data Entry'!H6/'Data Entry'!B6</f>
        <v>1.2864918357248886E-2</v>
      </c>
      <c r="G14" s="157">
        <f>'Data Entry'!I6/'Data Entry'!B6</f>
        <v>0</v>
      </c>
      <c r="H14" s="157">
        <f>SUM(D14:G14)/'Data Entry'!B6</f>
        <v>1.2731240333744568E-5</v>
      </c>
      <c r="I14" s="157">
        <f>'Data Entry'!C6/'Data Entry'!B6</f>
        <v>0.92973775358733302</v>
      </c>
      <c r="K14" s="97" t="str">
        <f t="shared" si="0"/>
        <v>Population, total N=2021</v>
      </c>
      <c r="L14">
        <f>I14/(SUM(B14:G14))</f>
        <v>13.232394366197182</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Charlevoix</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1879</v>
      </c>
      <c r="D7" s="105">
        <f>'Data Entry'!D6</f>
        <v>19</v>
      </c>
      <c r="E7" s="106"/>
      <c r="F7" s="107">
        <f>'Data Entry'!E6</f>
        <v>71</v>
      </c>
      <c r="G7" s="106"/>
      <c r="H7" s="107">
        <f>'Data Entry'!F6</f>
        <v>26</v>
      </c>
      <c r="I7" s="106"/>
      <c r="J7" s="107">
        <f>'Data Entry'!J6</f>
        <v>142</v>
      </c>
      <c r="K7" s="108"/>
    </row>
    <row r="8" spans="2:30" s="1" customFormat="1" ht="15" customHeight="1" x14ac:dyDescent="0.3">
      <c r="B8" s="125" t="s">
        <v>8</v>
      </c>
      <c r="C8" s="104">
        <f>'Data Entry'!C7</f>
        <v>0</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t="e">
        <f>'Black or African-American'!L7</f>
        <v>#VALUE!</v>
      </c>
      <c r="O8" s="1" t="e">
        <f>Hispanic!L7</f>
        <v>#VALUE!</v>
      </c>
      <c r="P8" s="1" t="e">
        <f>Asian!L7</f>
        <v>#VALUE!</v>
      </c>
      <c r="Q8" s="1" t="e">
        <f>Hawaiian!L7</f>
        <v>#VALUE!</v>
      </c>
      <c r="R8" s="1" t="e">
        <f>'Am Indian'!L7</f>
        <v>#VALUE!</v>
      </c>
      <c r="S8" s="1" t="e">
        <f>'Other - Mixed'!L7</f>
        <v>#VALUE!</v>
      </c>
      <c r="T8" s="1" t="e">
        <f>'All Minorities'!L7</f>
        <v>#VALUE!</v>
      </c>
    </row>
    <row r="9" spans="2:30" s="1" customFormat="1" ht="15" customHeight="1" x14ac:dyDescent="0.3">
      <c r="B9" s="125" t="s">
        <v>134</v>
      </c>
      <c r="C9" s="104">
        <f>'Data Entry'!C8</f>
        <v>33</v>
      </c>
      <c r="D9" s="109">
        <f>'Data Entry'!D8</f>
        <v>1</v>
      </c>
      <c r="E9" s="110" t="str">
        <f>'Black or African-American'!$G8</f>
        <v>*</v>
      </c>
      <c r="F9" s="111">
        <f>'Data Entry'!E8</f>
        <v>0</v>
      </c>
      <c r="G9" s="110" t="str">
        <f>Hispanic!G8</f>
        <v>**</v>
      </c>
      <c r="H9" s="111">
        <f>'Data Entry'!F8</f>
        <v>0</v>
      </c>
      <c r="I9" s="110" t="str">
        <f>Asian!G8</f>
        <v>**</v>
      </c>
      <c r="J9" s="111">
        <f>'Data Entry'!J8</f>
        <v>2</v>
      </c>
      <c r="K9" s="112" t="str">
        <f>'All Minorities'!G8</f>
        <v>**</v>
      </c>
      <c r="L9"/>
      <c r="N9" s="1">
        <f>'Black or African-American'!L8</f>
        <v>139</v>
      </c>
      <c r="O9" s="1">
        <f>Hispanic!L8</f>
        <v>40</v>
      </c>
      <c r="P9" s="1">
        <f>Asian!L8</f>
        <v>40</v>
      </c>
      <c r="Q9" s="1">
        <f>Hawaiian!L8</f>
        <v>139</v>
      </c>
      <c r="R9" s="1">
        <f>'Am Indian'!L8</f>
        <v>40</v>
      </c>
      <c r="S9" s="1">
        <f>'Other - Mixed'!L8</f>
        <v>139</v>
      </c>
      <c r="T9" s="1">
        <f>'All Minorities'!L8</f>
        <v>40</v>
      </c>
    </row>
    <row r="10" spans="2:30" s="1" customFormat="1" ht="15" customHeight="1" x14ac:dyDescent="0.3">
      <c r="B10" s="125" t="s">
        <v>10</v>
      </c>
      <c r="C10" s="104">
        <f>'Data Entry'!C9</f>
        <v>1</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f>'Black or African-American'!L9</f>
        <v>139</v>
      </c>
      <c r="O10" s="1" t="e">
        <f>Hispanic!L9</f>
        <v>#VALUE!</v>
      </c>
      <c r="P10" s="1" t="e">
        <f>Asian!L9</f>
        <v>#VALUE!</v>
      </c>
      <c r="Q10" s="1" t="e">
        <f>Hawaiian!L9</f>
        <v>#VALUE!</v>
      </c>
      <c r="R10" s="1">
        <f>'Am Indian'!L9</f>
        <v>40</v>
      </c>
      <c r="S10" s="1" t="e">
        <f>'Other - Mixed'!L9</f>
        <v>#VALUE!</v>
      </c>
      <c r="T10" s="1">
        <f>'All Minorities'!L9</f>
        <v>40</v>
      </c>
    </row>
    <row r="11" spans="2:30" s="1" customFormat="1" ht="15" customHeight="1" x14ac:dyDescent="0.3">
      <c r="B11" s="125" t="s">
        <v>11</v>
      </c>
      <c r="C11" s="104">
        <f>'Data Entry'!C10</f>
        <v>3</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f>'Black or African-American'!L10</f>
        <v>139</v>
      </c>
      <c r="O11" s="1" t="e">
        <f>Hispanic!L10</f>
        <v>#VALUE!</v>
      </c>
      <c r="P11" s="1" t="e">
        <f>Asian!L10</f>
        <v>#VALUE!</v>
      </c>
      <c r="Q11" s="1" t="e">
        <f>Hawaiian!L10</f>
        <v>#VALUE!</v>
      </c>
      <c r="R11" s="1">
        <f>'Am Indian'!L10</f>
        <v>40</v>
      </c>
      <c r="S11" s="1" t="e">
        <f>'Other - Mixed'!L10</f>
        <v>#VALUE!</v>
      </c>
      <c r="T11" s="1">
        <f>'All Minorities'!L10</f>
        <v>40</v>
      </c>
    </row>
    <row r="12" spans="2:30" s="1" customFormat="1" ht="15" customHeight="1" x14ac:dyDescent="0.3">
      <c r="B12" s="125" t="s">
        <v>95</v>
      </c>
      <c r="C12" s="104">
        <f>'Data Entry'!C11</f>
        <v>23</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f>'Black or African-American'!L11</f>
        <v>139</v>
      </c>
      <c r="O12" s="1" t="e">
        <f>Hispanic!L11</f>
        <v>#VALUE!</v>
      </c>
      <c r="P12" s="1" t="e">
        <f>Asian!L11</f>
        <v>#VALUE!</v>
      </c>
      <c r="Q12" s="1" t="e">
        <f>Hawaiian!L11</f>
        <v>#VALUE!</v>
      </c>
      <c r="R12" s="1">
        <f>'Am Indian'!L11</f>
        <v>40</v>
      </c>
      <c r="S12" s="1" t="e">
        <f>'Other - Mixed'!L11</f>
        <v>#VALUE!</v>
      </c>
      <c r="T12" s="1">
        <f>'All Minorities'!L11</f>
        <v>20</v>
      </c>
    </row>
    <row r="13" spans="2:30" s="1" customFormat="1" ht="15" customHeight="1" x14ac:dyDescent="0.3">
      <c r="B13" s="125" t="s">
        <v>13</v>
      </c>
      <c r="C13" s="104">
        <f>'Data Entry'!C12</f>
        <v>16</v>
      </c>
      <c r="D13" s="109">
        <f>'Data Entry'!D12</f>
        <v>1</v>
      </c>
      <c r="E13" s="110" t="str">
        <f>'Black or African-American'!$G12</f>
        <v>*</v>
      </c>
      <c r="F13" s="111">
        <f>'Data Entry'!E12</f>
        <v>0</v>
      </c>
      <c r="G13" s="110" t="str">
        <f>Hispanic!G12</f>
        <v>--</v>
      </c>
      <c r="H13" s="111">
        <f>'Data Entry'!F12</f>
        <v>0</v>
      </c>
      <c r="I13" s="110" t="str">
        <f>Asian!G12</f>
        <v>--</v>
      </c>
      <c r="J13" s="111">
        <f>'Data Entry'!J12</f>
        <v>1</v>
      </c>
      <c r="K13" s="112" t="str">
        <f>'All Minorities'!G12</f>
        <v>--</v>
      </c>
      <c r="L13"/>
      <c r="N13" s="1" t="e">
        <f>'Black or African-American'!L12</f>
        <v>#DIV/0!</v>
      </c>
      <c r="O13" s="1" t="e">
        <f>Hispanic!L12</f>
        <v>#VALUE!</v>
      </c>
      <c r="P13" s="1" t="e">
        <f>Asian!L12</f>
        <v>#VALUE!</v>
      </c>
      <c r="Q13" s="1" t="e">
        <f>Hawaiian!L12</f>
        <v>#VALUE!</v>
      </c>
      <c r="R13" s="1" t="e">
        <f>'Am Indian'!L12</f>
        <v>#VALUE!</v>
      </c>
      <c r="S13" s="1" t="e">
        <f>'Other - Mixed'!L12</f>
        <v>#VALUE!</v>
      </c>
      <c r="T13" s="1" t="e">
        <f>'All Minorities'!L12</f>
        <v>#DIV/0!</v>
      </c>
      <c r="W13" s="135"/>
      <c r="X13" s="135"/>
      <c r="Y13" s="135"/>
      <c r="Z13" s="135"/>
      <c r="AA13" s="135"/>
      <c r="AB13" s="135"/>
      <c r="AC13" s="135"/>
      <c r="AD13" s="135"/>
    </row>
    <row r="14" spans="2:30" s="1" customFormat="1" ht="15" customHeight="1" x14ac:dyDescent="0.3">
      <c r="B14" s="125" t="s">
        <v>14</v>
      </c>
      <c r="C14" s="104">
        <f>'Data Entry'!C13</f>
        <v>27</v>
      </c>
      <c r="D14" s="113">
        <f>'Data Entry'!D13</f>
        <v>1</v>
      </c>
      <c r="E14" s="114" t="str">
        <f>'Black or African-American'!$G13</f>
        <v>*</v>
      </c>
      <c r="F14" s="115">
        <f>'Data Entry'!E13</f>
        <v>0</v>
      </c>
      <c r="G14" s="114" t="str">
        <f>Hispanic!G13</f>
        <v>--</v>
      </c>
      <c r="H14" s="115">
        <f>'Data Entry'!F13</f>
        <v>0</v>
      </c>
      <c r="I14" s="114" t="str">
        <f>Asian!G13</f>
        <v>--</v>
      </c>
      <c r="J14" s="115">
        <f>'Data Entry'!J13</f>
        <v>2</v>
      </c>
      <c r="K14" s="116" t="str">
        <f>'All Minorities'!G13</f>
        <v>**</v>
      </c>
      <c r="L14"/>
      <c r="N14" s="1">
        <f>'Black or African-American'!L13</f>
        <v>139</v>
      </c>
      <c r="O14" s="1" t="e">
        <f>Hispanic!L13</f>
        <v>#VALUE!</v>
      </c>
      <c r="P14" s="1" t="e">
        <f>Asian!L13</f>
        <v>#VALUE!</v>
      </c>
      <c r="Q14" s="1" t="e">
        <f>Hawaiian!L13</f>
        <v>#VALUE!</v>
      </c>
      <c r="R14" s="1" t="e">
        <f>'Am Indian'!L13</f>
        <v>#DIV/0!</v>
      </c>
      <c r="S14" s="1" t="e">
        <f>'Other - Mixed'!L13</f>
        <v>#VALUE!</v>
      </c>
      <c r="T14" s="1">
        <f>'All Minorities'!L13</f>
        <v>40</v>
      </c>
      <c r="W14" s="135"/>
      <c r="X14" s="135"/>
      <c r="Y14" s="135"/>
      <c r="Z14" s="135"/>
      <c r="AA14" s="135"/>
      <c r="AB14" s="135"/>
      <c r="AC14" s="135"/>
      <c r="AD14" s="135"/>
    </row>
    <row r="15" spans="2:30" s="1" customFormat="1" ht="33" x14ac:dyDescent="0.3">
      <c r="B15" s="130" t="s">
        <v>123</v>
      </c>
      <c r="C15" s="104">
        <f>'Data Entry'!C14</f>
        <v>3</v>
      </c>
      <c r="D15" s="109">
        <f>'Data Entry'!D14</f>
        <v>1</v>
      </c>
      <c r="E15" s="110" t="str">
        <f>'Black or African-American'!$G14</f>
        <v>*</v>
      </c>
      <c r="F15" s="111">
        <f>'Data Entry'!E14</f>
        <v>0</v>
      </c>
      <c r="G15" s="110" t="str">
        <f>Hispanic!G14</f>
        <v>--</v>
      </c>
      <c r="H15" s="111">
        <f>'Data Entry'!F14</f>
        <v>0</v>
      </c>
      <c r="I15" s="110" t="str">
        <f>Asian!G14</f>
        <v>--</v>
      </c>
      <c r="J15" s="111">
        <f>'Data Entry'!J14</f>
        <v>1</v>
      </c>
      <c r="K15" s="112" t="str">
        <f>'All Minorities'!G14</f>
        <v>**</v>
      </c>
      <c r="L15"/>
      <c r="N15" s="1">
        <f>'Black or African-American'!L14</f>
        <v>139</v>
      </c>
      <c r="O15" s="1" t="e">
        <f>Hispanic!L14</f>
        <v>#VALUE!</v>
      </c>
      <c r="P15" s="1" t="e">
        <f>Asian!L14</f>
        <v>#VALUE!</v>
      </c>
      <c r="Q15" s="1" t="e">
        <f>Hawaiian!L14</f>
        <v>#VALUE!</v>
      </c>
      <c r="R15" s="1" t="e">
        <f>'Am Indian'!L14</f>
        <v>#VALUE!</v>
      </c>
      <c r="S15" s="1" t="e">
        <f>'Other - Mixed'!L14</f>
        <v>#VALUE!</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No</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Charlevoix</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1879</v>
      </c>
      <c r="D6" s="34"/>
      <c r="E6" s="33">
        <f>'Data Entry'!D6</f>
        <v>19</v>
      </c>
      <c r="F6" s="34"/>
      <c r="G6" s="35"/>
      <c r="H6" s="36"/>
      <c r="I6" s="37"/>
      <c r="J6" s="38"/>
      <c r="K6" s="37"/>
      <c r="L6" s="1">
        <f>IF( ('Data Entry'!D6&gt;('Data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Entry'!D7</f>
        <v>0</v>
      </c>
      <c r="F7" s="34">
        <f>IF((AND($E$7&gt;0,$D$66&gt;0)),($E$7/$D$66),0)</f>
        <v>0</v>
      </c>
      <c r="G7" s="39" t="str">
        <f>IF(L$6=100,"*",IF(M7=FALSE,"--",IF(K7=20,"**",($F7/$D7))))</f>
        <v>*</v>
      </c>
      <c r="H7" s="40"/>
      <c r="I7" s="41"/>
      <c r="J7" s="40" t="e">
        <f>IF((ABS($U7)&gt;Defaults!D$7),1,2)</f>
        <v>#VALUE!</v>
      </c>
      <c r="K7" s="39">
        <f>IF((AND(N7&gt;Defaults!B$12,(N7+O7)&gt;Defaults!B$13, P7 &gt; Defaults!B$12, (P7+Q7) &gt; Defaults!B$13)),1,20)</f>
        <v>20</v>
      </c>
      <c r="L7" s="1" t="e">
        <f>(J7*K7+L$6)-1</f>
        <v>#VALUE!</v>
      </c>
      <c r="M7" s="1" t="b">
        <f t="shared" ref="M7:M15" si="0">(ISNUMBER(J7))</f>
        <v>0</v>
      </c>
      <c r="N7" s="42">
        <f t="shared" ref="N7:N15" si="1">E7</f>
        <v>0</v>
      </c>
      <c r="O7" s="42">
        <f>E6-E7</f>
        <v>19</v>
      </c>
      <c r="P7" s="42">
        <f t="shared" ref="P7:P15" si="2">C7</f>
        <v>0</v>
      </c>
      <c r="Q7" s="42">
        <f>C6-C7</f>
        <v>1879</v>
      </c>
      <c r="R7" s="42">
        <f t="shared" ref="R7:R15" si="3">SUM(N7:Q7)</f>
        <v>1898</v>
      </c>
      <c r="S7" s="30">
        <f t="shared" ref="S7:S15" si="4">R7*((((N7*Q7)-(O7*P7))^2))</f>
        <v>0</v>
      </c>
      <c r="T7" s="30">
        <f t="shared" ref="T7:T15" si="5">(N7+O7)*(P7+Q7)*(N7+P7)*(O7+Q7)</f>
        <v>0</v>
      </c>
      <c r="U7" s="31" t="str">
        <f t="shared" ref="U7:U15" si="6">IF((S7&gt;0),S7/T7,"- -")</f>
        <v>- -</v>
      </c>
    </row>
    <row r="8" spans="2:21" ht="18" customHeight="1" x14ac:dyDescent="0.25">
      <c r="B8" s="32" t="str">
        <f>'Data Entry'!A8</f>
        <v>3. Refer to Juvenile Court</v>
      </c>
      <c r="C8" s="33">
        <f>'Data Entry'!C8</f>
        <v>33</v>
      </c>
      <c r="D8" s="34">
        <f>IF((AND(C67&gt;0,C8&gt;0)),(C8/C67),0)</f>
        <v>17.562533262373602</v>
      </c>
      <c r="E8" s="33">
        <f>'Data Entry'!D8</f>
        <v>1</v>
      </c>
      <c r="F8" s="34">
        <f>IF((AND($E$8&gt;0,$D$67&gt;0)),($E8/$D67),0)</f>
        <v>52.631578947368425</v>
      </c>
      <c r="G8" s="39" t="str">
        <f t="shared" ref="G8:G15" si="7">IF(L$6=100,"*",IF(M8=FALSE,"--",IF(K8=20,"**",($F8/$D8))))</f>
        <v>*</v>
      </c>
      <c r="H8" s="40"/>
      <c r="I8" s="41"/>
      <c r="J8" s="40">
        <f>IF((ABS($U8)&gt;Defaults!D$7),1,2)</f>
        <v>2</v>
      </c>
      <c r="K8" s="39">
        <f>IF((AND(N8&gt;Defaults!B$12,(N8+O8)&gt;Defaults!B$13, P8 &gt; Defaults!B$12, (P8+Q8) &gt; Defaults!B$13)),1,20)</f>
        <v>20</v>
      </c>
      <c r="L8" s="1">
        <f t="shared" ref="L8:L15" si="8">(J8*K8+L$6)-1</f>
        <v>139</v>
      </c>
      <c r="M8" s="1" t="b">
        <f t="shared" si="0"/>
        <v>1</v>
      </c>
      <c r="N8" s="42">
        <f t="shared" si="1"/>
        <v>1</v>
      </c>
      <c r="O8" s="42">
        <f>((D67*L67)-E8)+0.05</f>
        <v>18.05</v>
      </c>
      <c r="P8" s="42">
        <f t="shared" si="2"/>
        <v>33</v>
      </c>
      <c r="Q8" s="42">
        <f>(C$67*L67)-C8</f>
        <v>1846</v>
      </c>
      <c r="R8" s="42">
        <f t="shared" si="3"/>
        <v>1898.05</v>
      </c>
      <c r="S8" s="30">
        <f t="shared" si="4"/>
        <v>2967364151.2611246</v>
      </c>
      <c r="T8" s="30">
        <f t="shared" si="5"/>
        <v>2268601602.6150002</v>
      </c>
      <c r="U8" s="31">
        <f t="shared" si="6"/>
        <v>1.3080146588280048</v>
      </c>
    </row>
    <row r="9" spans="2:21" ht="18" customHeight="1" x14ac:dyDescent="0.25">
      <c r="B9" s="32" t="str">
        <f>'Data Entry'!A9</f>
        <v xml:space="preserve">4. Cases Diverted </v>
      </c>
      <c r="C9" s="33">
        <f>'Data Entry'!C9</f>
        <v>1</v>
      </c>
      <c r="D9" s="34">
        <f>IF((AND(C68&gt;0,C9&gt;0)),((C9/C68)),0)</f>
        <v>3.0303030303030303</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139</v>
      </c>
      <c r="M9" s="1" t="b">
        <f t="shared" si="0"/>
        <v>1</v>
      </c>
      <c r="N9" s="42">
        <f t="shared" si="1"/>
        <v>0</v>
      </c>
      <c r="O9" s="42">
        <f>(D$68*L68)-E9</f>
        <v>1</v>
      </c>
      <c r="P9" s="42">
        <f t="shared" si="2"/>
        <v>1</v>
      </c>
      <c r="Q9" s="42">
        <f>(C$68*L68)-C9</f>
        <v>32</v>
      </c>
      <c r="R9" s="42">
        <f t="shared" si="3"/>
        <v>34</v>
      </c>
      <c r="S9" s="30">
        <f t="shared" si="4"/>
        <v>34</v>
      </c>
      <c r="T9" s="30">
        <f t="shared" si="5"/>
        <v>1089</v>
      </c>
      <c r="U9" s="31">
        <f t="shared" si="6"/>
        <v>3.1221303948576674E-2</v>
      </c>
    </row>
    <row r="10" spans="2:21" ht="18" customHeight="1" x14ac:dyDescent="0.25">
      <c r="B10" s="32" t="str">
        <f>'Data Entry'!A10</f>
        <v>5. Cases Involving Secure Detention</v>
      </c>
      <c r="C10" s="33">
        <f>'Data Entry'!C10</f>
        <v>3</v>
      </c>
      <c r="D10" s="34">
        <f>IF(((AND(C68&gt;0,C10&gt;0))),(C10/(C68)),0)</f>
        <v>9.0909090909090899</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139</v>
      </c>
      <c r="M10" s="1" t="b">
        <f t="shared" si="0"/>
        <v>1</v>
      </c>
      <c r="N10" s="42">
        <f t="shared" si="1"/>
        <v>0</v>
      </c>
      <c r="O10" s="42">
        <f>(D$68*L68)-E10</f>
        <v>1</v>
      </c>
      <c r="P10" s="42">
        <f t="shared" si="2"/>
        <v>3</v>
      </c>
      <c r="Q10" s="42">
        <f>(C$68*L68)-C10</f>
        <v>30</v>
      </c>
      <c r="R10" s="42">
        <f t="shared" si="3"/>
        <v>34</v>
      </c>
      <c r="S10" s="30">
        <f t="shared" si="4"/>
        <v>306</v>
      </c>
      <c r="T10" s="30">
        <f t="shared" si="5"/>
        <v>3069</v>
      </c>
      <c r="U10" s="31">
        <f t="shared" si="6"/>
        <v>9.9706744868035185E-2</v>
      </c>
    </row>
    <row r="11" spans="2:21" ht="18" customHeight="1" x14ac:dyDescent="0.25">
      <c r="B11" s="32" t="str">
        <f>'Data Entry'!A11</f>
        <v>6. Cases Petitioned (Charge Filed)</v>
      </c>
      <c r="C11" s="33">
        <f>'Data Entry'!C11</f>
        <v>23</v>
      </c>
      <c r="D11" s="34">
        <f>IF(((AND(C68&gt;0,C11&gt;0))),(C11/(C68)),0)</f>
        <v>69.696969696969688</v>
      </c>
      <c r="E11" s="33">
        <f>'Data Entry'!D11</f>
        <v>0</v>
      </c>
      <c r="F11" s="34">
        <f>IF(((AND($E$11&gt;0,$D$68&gt;0))),($E$11/($D$68)),0)</f>
        <v>0</v>
      </c>
      <c r="G11" s="39" t="str">
        <f t="shared" si="7"/>
        <v>*</v>
      </c>
      <c r="H11" s="40"/>
      <c r="I11" s="41"/>
      <c r="J11" s="40">
        <f>IF((ABS($U11)&gt;Defaults!D$7),1,2)</f>
        <v>2</v>
      </c>
      <c r="K11" s="39">
        <f>IF((AND(N11&gt;Defaults!B$12,(N11+O11)&gt;Defaults!B$13, P11 &gt; Defaults!B$12, (P11+Q11) &gt; Defaults!B$13)),1,20)</f>
        <v>20</v>
      </c>
      <c r="L11" s="1">
        <f t="shared" si="8"/>
        <v>139</v>
      </c>
      <c r="M11" s="1" t="b">
        <f t="shared" si="0"/>
        <v>1</v>
      </c>
      <c r="N11" s="42">
        <f t="shared" si="1"/>
        <v>0</v>
      </c>
      <c r="O11" s="42">
        <f>(D$68*L68)-E11</f>
        <v>1</v>
      </c>
      <c r="P11" s="42">
        <f t="shared" si="2"/>
        <v>23</v>
      </c>
      <c r="Q11" s="42">
        <f>(C$68*L68)-C11</f>
        <v>10</v>
      </c>
      <c r="R11" s="42">
        <f t="shared" si="3"/>
        <v>34</v>
      </c>
      <c r="S11" s="30">
        <f t="shared" si="4"/>
        <v>17986</v>
      </c>
      <c r="T11" s="30">
        <f t="shared" si="5"/>
        <v>8349</v>
      </c>
      <c r="U11" s="31">
        <f t="shared" si="6"/>
        <v>2.1542699724517904</v>
      </c>
    </row>
    <row r="12" spans="2:21" ht="18" customHeight="1" x14ac:dyDescent="0.25">
      <c r="B12" s="32" t="str">
        <f>'Data Entry'!A12</f>
        <v>7. Cases Resulting in Delinquent Findings</v>
      </c>
      <c r="C12" s="33">
        <f>'Data Entry'!C12</f>
        <v>16</v>
      </c>
      <c r="D12" s="34">
        <f>IF(((AND(C69&gt;0,C12&gt;0))),(C12/(C69)),0)</f>
        <v>69.565217391304344</v>
      </c>
      <c r="E12" s="33">
        <f>'Data Entry'!D12</f>
        <v>1</v>
      </c>
      <c r="F12" s="34">
        <f>IF(((AND($D$69&gt;0,$E$12&gt;0))),(E12/(D69)),0)</f>
        <v>0</v>
      </c>
      <c r="G12" s="39" t="str">
        <f t="shared" si="7"/>
        <v>*</v>
      </c>
      <c r="H12" s="40"/>
      <c r="I12" s="41"/>
      <c r="J12" s="40" t="e">
        <f>IF((ABS($U12)&gt;Defaults!D$7),1,2)</f>
        <v>#DIV/0!</v>
      </c>
      <c r="K12" s="39">
        <f>IF((AND(N12&gt;Defaults!B$12,(N12+O12)&gt;Defaults!B$13, P12 &gt; Defaults!B$12, (P12+Q12) &gt; Defaults!B$13)),1,20)</f>
        <v>20</v>
      </c>
      <c r="L12" s="1" t="e">
        <f t="shared" si="8"/>
        <v>#DIV/0!</v>
      </c>
      <c r="M12" s="1" t="b">
        <f t="shared" si="0"/>
        <v>0</v>
      </c>
      <c r="N12" s="42">
        <f t="shared" si="1"/>
        <v>1</v>
      </c>
      <c r="O12" s="42">
        <f>(D69*L69)-E12</f>
        <v>-1</v>
      </c>
      <c r="P12" s="42">
        <f t="shared" si="2"/>
        <v>16</v>
      </c>
      <c r="Q12" s="42">
        <f>(C69*L69)-C12</f>
        <v>7</v>
      </c>
      <c r="R12" s="42">
        <f t="shared" si="3"/>
        <v>23</v>
      </c>
      <c r="S12" s="30">
        <f t="shared" si="4"/>
        <v>12167</v>
      </c>
      <c r="T12" s="30">
        <f t="shared" si="5"/>
        <v>0</v>
      </c>
      <c r="U12" s="31" t="e">
        <f t="shared" si="6"/>
        <v>#DIV/0!</v>
      </c>
    </row>
    <row r="13" spans="2:21" ht="18" customHeight="1" x14ac:dyDescent="0.25">
      <c r="B13" s="32" t="str">
        <f>'Data Entry'!A13</f>
        <v>8. Cases Resulting in Probation Placement</v>
      </c>
      <c r="C13" s="33">
        <f>'Data Entry'!C13</f>
        <v>27</v>
      </c>
      <c r="D13" s="34">
        <f>IF(((AND(C70&gt;0,C13&gt;0))),(C13/(C70)),0)</f>
        <v>168.75</v>
      </c>
      <c r="E13" s="33">
        <f>'Data Entry'!D13</f>
        <v>1</v>
      </c>
      <c r="F13" s="34">
        <f>IF(((AND($D$70&gt;0,$E$13&gt;0))),($E$13/($D$70)),0)</f>
        <v>100</v>
      </c>
      <c r="G13" s="39" t="str">
        <f t="shared" si="7"/>
        <v>*</v>
      </c>
      <c r="H13" s="40"/>
      <c r="I13" s="41"/>
      <c r="J13" s="40">
        <f>IF((ABS($U13)&gt;Defaults!D$7),1,2)</f>
        <v>2</v>
      </c>
      <c r="K13" s="39">
        <f>IF((AND(N13&gt;Defaults!B$12,(N13+O13)&gt;Defaults!B$13, P13 &gt; Defaults!B$12, (P13+Q13) &gt; Defaults!B$13)),1,20)</f>
        <v>20</v>
      </c>
      <c r="L13" s="1">
        <f t="shared" si="8"/>
        <v>139</v>
      </c>
      <c r="M13" s="1" t="b">
        <f t="shared" si="0"/>
        <v>1</v>
      </c>
      <c r="N13" s="42">
        <f t="shared" si="1"/>
        <v>1</v>
      </c>
      <c r="O13" s="42">
        <f>(D70*L70)-E13</f>
        <v>0</v>
      </c>
      <c r="P13" s="42">
        <f t="shared" si="2"/>
        <v>27</v>
      </c>
      <c r="Q13" s="42">
        <f>(C70*L70)-C13</f>
        <v>-11</v>
      </c>
      <c r="R13" s="42">
        <f t="shared" si="3"/>
        <v>17</v>
      </c>
      <c r="S13" s="30">
        <f t="shared" si="4"/>
        <v>2057</v>
      </c>
      <c r="T13" s="30">
        <f t="shared" si="5"/>
        <v>-4928</v>
      </c>
      <c r="U13" s="31">
        <f t="shared" si="6"/>
        <v>-0.4174107142857143</v>
      </c>
    </row>
    <row r="14" spans="2:21" ht="30.75" customHeight="1" x14ac:dyDescent="0.25">
      <c r="B14" s="32" t="str">
        <f>'Data Entry'!A14</f>
        <v xml:space="preserve">9. Cases Resulting in Confinement in Secure Juvenile Correctional Facilities </v>
      </c>
      <c r="C14" s="33">
        <f>'Data Entry'!C14</f>
        <v>3</v>
      </c>
      <c r="D14" s="34">
        <f>IF(((AND(C70&gt;0,C14&gt;0))), ((C14/(C70))),0)</f>
        <v>18.75</v>
      </c>
      <c r="E14" s="33">
        <f>'Data Entry'!D14</f>
        <v>1</v>
      </c>
      <c r="F14" s="34">
        <f>IF(((AND($D$70&gt;0,$E$14&gt;0))), (($E$14/($D$70))),0)</f>
        <v>100</v>
      </c>
      <c r="G14" s="39" t="str">
        <f t="shared" si="7"/>
        <v>*</v>
      </c>
      <c r="H14" s="40"/>
      <c r="I14" s="41"/>
      <c r="J14" s="40">
        <f>IF((ABS($U14)&gt;Defaults!D$7),1,2)</f>
        <v>2</v>
      </c>
      <c r="K14" s="39">
        <f>IF((AND(N14&gt;Defaults!B$12,(N14+O14)&gt;Defaults!B$13, P14 &gt; Defaults!B$12, (P14+Q14) &gt; Defaults!B$13)),1,20)</f>
        <v>20</v>
      </c>
      <c r="L14" s="1">
        <f t="shared" si="8"/>
        <v>139</v>
      </c>
      <c r="M14" s="1" t="b">
        <f t="shared" si="0"/>
        <v>1</v>
      </c>
      <c r="N14" s="42">
        <f t="shared" si="1"/>
        <v>1</v>
      </c>
      <c r="O14" s="42">
        <f>(D70*L70)-E14</f>
        <v>0</v>
      </c>
      <c r="P14" s="42">
        <f t="shared" si="2"/>
        <v>3</v>
      </c>
      <c r="Q14" s="42">
        <f>(C70*L70)-C14</f>
        <v>13</v>
      </c>
      <c r="R14" s="42">
        <f t="shared" si="3"/>
        <v>17</v>
      </c>
      <c r="S14" s="30">
        <f t="shared" si="4"/>
        <v>2873</v>
      </c>
      <c r="T14" s="30">
        <f t="shared" si="5"/>
        <v>832</v>
      </c>
      <c r="U14" s="31">
        <f t="shared" si="6"/>
        <v>3.453125</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23</v>
      </c>
      <c r="R15" s="42">
        <f t="shared" si="3"/>
        <v>23</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1.879</v>
      </c>
      <c r="D42" s="56">
        <f>E6/1000</f>
        <v>1.9E-2</v>
      </c>
      <c r="E42" s="56">
        <f>MAX(C42:D42)</f>
        <v>1.879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0.33</v>
      </c>
      <c r="D44" s="56">
        <f>E8/100</f>
        <v>0.01</v>
      </c>
      <c r="E44" s="56">
        <f>MAX(C44:D44,0)</f>
        <v>0.33</v>
      </c>
      <c r="G44" s="1" t="str">
        <f>B44</f>
        <v>per 100 referrals</v>
      </c>
      <c r="L44" s="57">
        <v>100</v>
      </c>
      <c r="M44" s="57"/>
      <c r="R44" s="49"/>
    </row>
    <row r="45" spans="2:18" ht="15" hidden="1" customHeight="1" x14ac:dyDescent="0.25">
      <c r="B45" s="49" t="s">
        <v>89</v>
      </c>
      <c r="C45" s="49">
        <f>C11/100</f>
        <v>0.23</v>
      </c>
      <c r="D45" s="49">
        <f>E11/100</f>
        <v>0</v>
      </c>
      <c r="E45" s="56">
        <f>MAX(C45:D45,0)</f>
        <v>0.23</v>
      </c>
      <c r="G45" s="1" t="str">
        <f>B45</f>
        <v>per 100 youth petitioned</v>
      </c>
      <c r="L45" s="57">
        <v>100</v>
      </c>
      <c r="M45" s="57"/>
      <c r="R45" s="49"/>
    </row>
    <row r="46" spans="2:18" ht="15" hidden="1" customHeight="1" x14ac:dyDescent="0.25">
      <c r="B46" s="49" t="s">
        <v>90</v>
      </c>
      <c r="C46" s="49">
        <f>C12/100</f>
        <v>0.16</v>
      </c>
      <c r="D46" s="49">
        <f>E12/100</f>
        <v>0.01</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1.879</v>
      </c>
      <c r="D48" s="56">
        <f>D42</f>
        <v>1.9E-2</v>
      </c>
      <c r="E48" s="56">
        <f>MAX(C48:D48)</f>
        <v>1.879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IF(($E43&gt;0),C43,C42)</f>
        <v>1.879</v>
      </c>
      <c r="D49" s="49">
        <f t="shared" si="9"/>
        <v>1.9E-2</v>
      </c>
      <c r="E49" s="49">
        <f>MAX(C49:D49)</f>
        <v>1.879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0.33</v>
      </c>
      <c r="D50" s="49">
        <f t="shared" si="9"/>
        <v>0.01</v>
      </c>
      <c r="E50" s="49">
        <f>MAX(C50:D50)</f>
        <v>0.33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0.01</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1.879</v>
      </c>
      <c r="D54" s="56">
        <f>D48</f>
        <v>1.9E-2</v>
      </c>
      <c r="E54" s="56">
        <f>MAX(C54:D54)</f>
        <v>1.879</v>
      </c>
      <c r="G54" s="1" t="str">
        <f>G48</f>
        <v>per 1000 youth</v>
      </c>
      <c r="L54" s="58">
        <f>L48</f>
        <v>1000</v>
      </c>
      <c r="M54" s="58"/>
    </row>
    <row r="55" spans="2:18" ht="15" hidden="1" customHeight="1" x14ac:dyDescent="0.25">
      <c r="B55" s="49" t="str">
        <f t="shared" ref="B55:D56" si="10">IF(($E49&gt;0),B49,B48)</f>
        <v>per 1000 youth</v>
      </c>
      <c r="C55" s="49">
        <f t="shared" si="10"/>
        <v>1.879</v>
      </c>
      <c r="D55" s="49">
        <f t="shared" si="10"/>
        <v>1.9E-2</v>
      </c>
      <c r="E55" s="49">
        <f>MAX(C55:D55)</f>
        <v>1.879</v>
      </c>
      <c r="G55" s="1" t="str">
        <f>G49</f>
        <v>per 100 arrests</v>
      </c>
      <c r="L55" s="58">
        <f>IF(($E49&gt;0),L49,L48)</f>
        <v>1000</v>
      </c>
      <c r="M55" s="58"/>
    </row>
    <row r="56" spans="2:18" ht="15" hidden="1" customHeight="1" x14ac:dyDescent="0.25">
      <c r="B56" s="49" t="str">
        <f t="shared" si="10"/>
        <v>per 100 referrals</v>
      </c>
      <c r="C56" s="49">
        <f t="shared" si="10"/>
        <v>0.33</v>
      </c>
      <c r="D56" s="49">
        <f t="shared" si="10"/>
        <v>0.01</v>
      </c>
      <c r="E56" s="49">
        <f>MAX(C56:D56)</f>
        <v>0.33</v>
      </c>
      <c r="G56" s="1" t="str">
        <f>G50</f>
        <v>per 100 referrals</v>
      </c>
      <c r="L56" s="58">
        <f>IF(($E50&gt;0),L50,L49)</f>
        <v>100</v>
      </c>
      <c r="M56" s="58"/>
    </row>
    <row r="57" spans="2:18" ht="15" hidden="1" customHeight="1" x14ac:dyDescent="0.25">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0.01</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1.879</v>
      </c>
      <c r="D60" s="56">
        <f>D54</f>
        <v>1.9E-2</v>
      </c>
      <c r="E60" s="56">
        <f>MAX(C60:D60)</f>
        <v>1.879</v>
      </c>
      <c r="G60" s="1" t="str">
        <f>G54</f>
        <v>per 1000 youth</v>
      </c>
      <c r="L60" s="58">
        <f>L54</f>
        <v>1000</v>
      </c>
      <c r="M60" s="58"/>
    </row>
    <row r="61" spans="2:18" ht="15" hidden="1" customHeight="1" x14ac:dyDescent="0.25">
      <c r="B61" s="49" t="str">
        <f t="shared" ref="B61:D62" si="11">IF(($E55&gt;0),B55,B54)</f>
        <v>per 1000 youth</v>
      </c>
      <c r="C61" s="49">
        <f t="shared" si="11"/>
        <v>1.879</v>
      </c>
      <c r="D61" s="49">
        <f t="shared" si="11"/>
        <v>1.9E-2</v>
      </c>
      <c r="E61" s="49">
        <f>MAX(C61:D61)</f>
        <v>1.879</v>
      </c>
      <c r="G61" s="1" t="str">
        <f>G55</f>
        <v>per 100 arrests</v>
      </c>
      <c r="L61" s="58">
        <f>IF(($E55&gt;0),L55,L54)</f>
        <v>1000</v>
      </c>
      <c r="M61" s="58"/>
    </row>
    <row r="62" spans="2:18" ht="15" hidden="1" customHeight="1" x14ac:dyDescent="0.25">
      <c r="B62" s="49" t="str">
        <f t="shared" si="11"/>
        <v>per 100 referrals</v>
      </c>
      <c r="C62" s="49">
        <f t="shared" si="11"/>
        <v>0.33</v>
      </c>
      <c r="D62" s="49">
        <f t="shared" si="11"/>
        <v>0.01</v>
      </c>
      <c r="E62" s="49">
        <f>MAX(C62:D62)</f>
        <v>0.33</v>
      </c>
      <c r="G62" s="1" t="str">
        <f>G56</f>
        <v>per 100 referrals</v>
      </c>
      <c r="L62" s="58">
        <f>IF(($E56&gt;0),L56,L55)</f>
        <v>100</v>
      </c>
      <c r="M62" s="58"/>
    </row>
    <row r="63" spans="2:18" ht="15" hidden="1" customHeight="1" x14ac:dyDescent="0.25">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0.01</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1.879</v>
      </c>
      <c r="D66" s="56">
        <f>D60</f>
        <v>1.9E-2</v>
      </c>
      <c r="E66" s="56">
        <f>MAX(C66:D66)</f>
        <v>1.879</v>
      </c>
      <c r="G66" s="1" t="str">
        <f>G60</f>
        <v>per 1000 youth</v>
      </c>
      <c r="L66" s="58">
        <f>L60</f>
        <v>1000</v>
      </c>
      <c r="M66" s="58">
        <f>IF((B66=G66),1,2)</f>
        <v>1</v>
      </c>
    </row>
    <row r="67" spans="2:13" ht="15" hidden="1" customHeight="1" x14ac:dyDescent="0.25">
      <c r="B67" s="49" t="str">
        <f t="shared" ref="B67:D68" si="12">IF(($E61&gt;0),B61,B60)</f>
        <v>per 1000 youth</v>
      </c>
      <c r="C67" s="49">
        <f t="shared" si="12"/>
        <v>1.879</v>
      </c>
      <c r="D67" s="49">
        <f t="shared" si="12"/>
        <v>1.9E-2</v>
      </c>
      <c r="E67" s="49">
        <f>MAX(C67:D67)</f>
        <v>1.879</v>
      </c>
      <c r="G67" s="1" t="str">
        <f>G61</f>
        <v>per 100 arrests</v>
      </c>
      <c r="L67" s="58">
        <f>IF(($E61&gt;0),L61,L60)</f>
        <v>1000</v>
      </c>
      <c r="M67" s="58">
        <f>IF((B67=G67),1,2)</f>
        <v>2</v>
      </c>
    </row>
    <row r="68" spans="2:13" ht="15" hidden="1" customHeight="1" x14ac:dyDescent="0.25">
      <c r="B68" s="49" t="str">
        <f t="shared" si="12"/>
        <v>per 100 referrals</v>
      </c>
      <c r="C68" s="49">
        <f t="shared" si="12"/>
        <v>0.33</v>
      </c>
      <c r="D68" s="49">
        <f t="shared" si="12"/>
        <v>0.01</v>
      </c>
      <c r="E68" s="49">
        <f>MAX(C68:D68)</f>
        <v>0.33</v>
      </c>
      <c r="G68" s="1" t="str">
        <f>G62</f>
        <v>per 100 referrals</v>
      </c>
      <c r="L68" s="58">
        <f>IF(($E62&gt;0),L62,L61)</f>
        <v>100</v>
      </c>
      <c r="M68" s="58">
        <f>IF((B68=G68),1,2)</f>
        <v>1</v>
      </c>
    </row>
    <row r="69" spans="2:13" ht="15" hidden="1" customHeight="1" x14ac:dyDescent="0.25">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0.01</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Charlevoix</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1879</v>
      </c>
      <c r="D6" s="34"/>
      <c r="E6" s="33">
        <f>'Data Entry'!F6</f>
        <v>26</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Entry'!F7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26</v>
      </c>
      <c r="P7" s="42">
        <f t="shared" ref="P7:P15" si="4">C7</f>
        <v>0</v>
      </c>
      <c r="Q7" s="42">
        <f>C6-C7</f>
        <v>1879</v>
      </c>
      <c r="R7" s="42">
        <f t="shared" ref="R7:R15" si="5">SUM(N7:Q7)</f>
        <v>1905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33</v>
      </c>
      <c r="D8" s="34">
        <f>IF((AND(C67&gt;0,C8&gt;0)),(C8/C67),0)</f>
        <v>17.562533262373602</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26.05</v>
      </c>
      <c r="P8" s="42">
        <f t="shared" si="4"/>
        <v>33</v>
      </c>
      <c r="Q8" s="42">
        <f>(C$67*L67)-C8</f>
        <v>1846</v>
      </c>
      <c r="R8" s="42">
        <f t="shared" si="5"/>
        <v>1905.05</v>
      </c>
      <c r="S8" s="30">
        <f t="shared" si="6"/>
        <v>1407828373.2686248</v>
      </c>
      <c r="T8" s="30">
        <f t="shared" si="7"/>
        <v>3023889323.3175001</v>
      </c>
      <c r="U8" s="31">
        <f t="shared" si="8"/>
        <v>0.46556875028881695</v>
      </c>
    </row>
    <row r="9" spans="2:21" ht="18" customHeight="1" x14ac:dyDescent="0.25">
      <c r="B9" s="32" t="str">
        <f>'Data Entry'!A9</f>
        <v xml:space="preserve">4. Cases Diverted </v>
      </c>
      <c r="C9" s="33">
        <f>'Data Entry'!C9</f>
        <v>1</v>
      </c>
      <c r="D9" s="34">
        <f>IF((AND(C68&gt;0,C9&gt;0)),((C9/C68)),0)</f>
        <v>3.0303030303030303</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32</v>
      </c>
      <c r="R9" s="42">
        <f t="shared" si="5"/>
        <v>33</v>
      </c>
      <c r="S9" s="30">
        <f t="shared" si="6"/>
        <v>0</v>
      </c>
      <c r="T9" s="30">
        <f t="shared" si="7"/>
        <v>0</v>
      </c>
      <c r="U9" s="31" t="str">
        <f t="shared" si="8"/>
        <v>- -</v>
      </c>
    </row>
    <row r="10" spans="2:21" ht="18" customHeight="1" x14ac:dyDescent="0.25">
      <c r="B10" s="32" t="str">
        <f>'Data Entry'!A10</f>
        <v>5. Cases Involving Secure Detention</v>
      </c>
      <c r="C10" s="33">
        <f>'Data Entry'!C10</f>
        <v>3</v>
      </c>
      <c r="D10" s="34">
        <f>IF(((AND(C68&gt;0,C10&gt;0))),(C10/(C68)),0)</f>
        <v>9.0909090909090899</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30</v>
      </c>
      <c r="R10" s="42">
        <f t="shared" si="5"/>
        <v>33</v>
      </c>
      <c r="S10" s="30">
        <f t="shared" si="6"/>
        <v>0</v>
      </c>
      <c r="T10" s="30">
        <f t="shared" si="7"/>
        <v>0</v>
      </c>
      <c r="U10" s="31" t="str">
        <f t="shared" si="8"/>
        <v>- -</v>
      </c>
    </row>
    <row r="11" spans="2:21" ht="18" customHeight="1" x14ac:dyDescent="0.25">
      <c r="B11" s="32" t="str">
        <f>'Data Entry'!A11</f>
        <v>6. Cases Petitioned (Charge Filed)</v>
      </c>
      <c r="C11" s="33">
        <f>'Data Entry'!C11</f>
        <v>23</v>
      </c>
      <c r="D11" s="34">
        <f>IF(((AND(C68&gt;0,C11&gt;0))),(C11/(C68)),0)</f>
        <v>69.696969696969688</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10</v>
      </c>
      <c r="R11" s="42">
        <f t="shared" si="5"/>
        <v>33</v>
      </c>
      <c r="S11" s="30">
        <f t="shared" si="6"/>
        <v>0</v>
      </c>
      <c r="T11" s="30">
        <f t="shared" si="7"/>
        <v>0</v>
      </c>
      <c r="U11" s="31" t="str">
        <f t="shared" si="8"/>
        <v>- -</v>
      </c>
    </row>
    <row r="12" spans="2:21" ht="18" customHeight="1" x14ac:dyDescent="0.25">
      <c r="B12" s="32" t="str">
        <f>'Data Entry'!A12</f>
        <v>7. Cases Resulting in Delinquent Findings</v>
      </c>
      <c r="C12" s="33">
        <f>'Data Entry'!C12</f>
        <v>16</v>
      </c>
      <c r="D12" s="34">
        <f>IF(((AND(C69&gt;0,C12&gt;0))),(C12/(C69)),0)</f>
        <v>69.565217391304344</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7</v>
      </c>
      <c r="R12" s="42">
        <f t="shared" si="5"/>
        <v>23</v>
      </c>
      <c r="S12" s="30">
        <f t="shared" si="6"/>
        <v>0</v>
      </c>
      <c r="T12" s="30">
        <f t="shared" si="7"/>
        <v>0</v>
      </c>
      <c r="U12" s="31" t="str">
        <f t="shared" si="8"/>
        <v>- -</v>
      </c>
    </row>
    <row r="13" spans="2:21" ht="18" customHeight="1" x14ac:dyDescent="0.25">
      <c r="B13" s="32" t="str">
        <f>'Data Entry'!A13</f>
        <v>8. Cases Resulting in Probation Placement</v>
      </c>
      <c r="C13" s="33">
        <f>'Data Entry'!C13</f>
        <v>27</v>
      </c>
      <c r="D13" s="34">
        <f>IF(((AND(C70&gt;0,C13&gt;0))),(C13/(C70)),0)</f>
        <v>168.75</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27</v>
      </c>
      <c r="Q13" s="42">
        <f>(C70*L70)-C13</f>
        <v>-11</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18.75</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13</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1.879</v>
      </c>
      <c r="D42" s="56">
        <f>E6/1000</f>
        <v>2.5999999999999999E-2</v>
      </c>
      <c r="E42" s="56">
        <f>MAX(C42:D42)</f>
        <v>1.879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0.33</v>
      </c>
      <c r="D44" s="56">
        <f>E8/100</f>
        <v>0</v>
      </c>
      <c r="E44" s="56">
        <f>MAX(C44:D44,0)</f>
        <v>0.33</v>
      </c>
      <c r="G44" s="1" t="str">
        <f>B44</f>
        <v>per 100 referrals</v>
      </c>
      <c r="L44" s="57">
        <v>100</v>
      </c>
      <c r="M44" s="57"/>
      <c r="R44" s="49"/>
    </row>
    <row r="45" spans="2:18" ht="15" hidden="1" customHeight="1" x14ac:dyDescent="0.25">
      <c r="B45" s="49" t="s">
        <v>89</v>
      </c>
      <c r="C45" s="49">
        <f>C11/100</f>
        <v>0.23</v>
      </c>
      <c r="D45" s="49">
        <f>E11/100</f>
        <v>0</v>
      </c>
      <c r="E45" s="56">
        <f>MAX(C45:D45,0)</f>
        <v>0.23</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1.879</v>
      </c>
      <c r="D48" s="56">
        <f>D42</f>
        <v>2.5999999999999999E-2</v>
      </c>
      <c r="E48" s="56">
        <f>MAX(C48:D48)</f>
        <v>1.879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1.879</v>
      </c>
      <c r="D49" s="49">
        <f t="shared" si="9"/>
        <v>2.5999999999999999E-2</v>
      </c>
      <c r="E49" s="49">
        <f>MAX(C49:D49)</f>
        <v>1.879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0.33</v>
      </c>
      <c r="D50" s="49">
        <f t="shared" si="9"/>
        <v>0</v>
      </c>
      <c r="E50" s="49">
        <f>MAX(C50:D50)</f>
        <v>0.33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1.879</v>
      </c>
      <c r="D54" s="56">
        <f>D48</f>
        <v>2.5999999999999999E-2</v>
      </c>
      <c r="E54" s="56">
        <f>MAX(C54:D54)</f>
        <v>1.879</v>
      </c>
      <c r="G54" s="1" t="str">
        <f>G48</f>
        <v>per 1000 youth</v>
      </c>
      <c r="L54" s="58">
        <f>L48</f>
        <v>1000</v>
      </c>
      <c r="M54" s="58"/>
    </row>
    <row r="55" spans="2:18" ht="15" hidden="1" customHeight="1" x14ac:dyDescent="0.25">
      <c r="B55" s="49" t="str">
        <f t="shared" ref="B55:D56" si="10">IF(($E49&gt;0),B49,B48)</f>
        <v>per 1000 youth</v>
      </c>
      <c r="C55" s="49">
        <f t="shared" si="10"/>
        <v>1.879</v>
      </c>
      <c r="D55" s="49">
        <f t="shared" si="10"/>
        <v>2.5999999999999999E-2</v>
      </c>
      <c r="E55" s="49">
        <f>MAX(C55:D55)</f>
        <v>1.879</v>
      </c>
      <c r="G55" s="1" t="str">
        <f>G49</f>
        <v>per 100 arrests</v>
      </c>
      <c r="L55" s="58">
        <f>IF(($E49&gt;0),L49,L48)</f>
        <v>1000</v>
      </c>
      <c r="M55" s="58"/>
    </row>
    <row r="56" spans="2:18" ht="15" hidden="1" customHeight="1" x14ac:dyDescent="0.25">
      <c r="B56" s="49" t="str">
        <f t="shared" si="10"/>
        <v>per 100 referrals</v>
      </c>
      <c r="C56" s="49">
        <f t="shared" si="10"/>
        <v>0.33</v>
      </c>
      <c r="D56" s="49">
        <f t="shared" si="10"/>
        <v>0</v>
      </c>
      <c r="E56" s="49">
        <f>MAX(C56:D56)</f>
        <v>0.33</v>
      </c>
      <c r="G56" s="1" t="str">
        <f>G50</f>
        <v>per 100 referrals</v>
      </c>
      <c r="L56" s="58">
        <f>IF(($E50&gt;0),L50,L49)</f>
        <v>100</v>
      </c>
      <c r="M56" s="58"/>
    </row>
    <row r="57" spans="2:18" ht="15" hidden="1" customHeight="1" x14ac:dyDescent="0.25">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1.879</v>
      </c>
      <c r="D60" s="56">
        <f>D54</f>
        <v>2.5999999999999999E-2</v>
      </c>
      <c r="E60" s="56">
        <f>MAX(C60:D60)</f>
        <v>1.879</v>
      </c>
      <c r="G60" s="1" t="str">
        <f>G54</f>
        <v>per 1000 youth</v>
      </c>
      <c r="L60" s="58">
        <f>L54</f>
        <v>1000</v>
      </c>
      <c r="M60" s="58"/>
    </row>
    <row r="61" spans="2:18" ht="15" hidden="1" customHeight="1" x14ac:dyDescent="0.25">
      <c r="B61" s="49" t="str">
        <f t="shared" ref="B61:D62" si="11">IF(($E55&gt;0),B55,B54)</f>
        <v>per 1000 youth</v>
      </c>
      <c r="C61" s="49">
        <f t="shared" si="11"/>
        <v>1.879</v>
      </c>
      <c r="D61" s="49">
        <f t="shared" si="11"/>
        <v>2.5999999999999999E-2</v>
      </c>
      <c r="E61" s="49">
        <f>MAX(C61:D61)</f>
        <v>1.879</v>
      </c>
      <c r="G61" s="1" t="str">
        <f>G55</f>
        <v>per 100 arrests</v>
      </c>
      <c r="L61" s="58">
        <f>IF(($E55&gt;0),L55,L54)</f>
        <v>1000</v>
      </c>
      <c r="M61" s="58"/>
    </row>
    <row r="62" spans="2:18" ht="15" hidden="1" customHeight="1" x14ac:dyDescent="0.25">
      <c r="B62" s="49" t="str">
        <f t="shared" si="11"/>
        <v>per 100 referrals</v>
      </c>
      <c r="C62" s="49">
        <f t="shared" si="11"/>
        <v>0.33</v>
      </c>
      <c r="D62" s="49">
        <f t="shared" si="11"/>
        <v>0</v>
      </c>
      <c r="E62" s="49">
        <f>MAX(C62:D62)</f>
        <v>0.33</v>
      </c>
      <c r="G62" s="1" t="str">
        <f>G56</f>
        <v>per 100 referrals</v>
      </c>
      <c r="L62" s="58">
        <f>IF(($E56&gt;0),L56,L55)</f>
        <v>100</v>
      </c>
      <c r="M62" s="58"/>
    </row>
    <row r="63" spans="2:18" ht="15" hidden="1" customHeight="1" x14ac:dyDescent="0.25">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1.879</v>
      </c>
      <c r="D66" s="56">
        <f>D60</f>
        <v>2.5999999999999999E-2</v>
      </c>
      <c r="E66" s="56">
        <f>MAX(C66:D66)</f>
        <v>1.879</v>
      </c>
      <c r="G66" s="1" t="str">
        <f>G60</f>
        <v>per 1000 youth</v>
      </c>
      <c r="L66" s="58">
        <f>L60</f>
        <v>1000</v>
      </c>
      <c r="M66" s="58">
        <f>IF((B66=G66),1,2)</f>
        <v>1</v>
      </c>
    </row>
    <row r="67" spans="2:13" ht="15" hidden="1" customHeight="1" x14ac:dyDescent="0.25">
      <c r="B67" s="49" t="str">
        <f t="shared" ref="B67:D68" si="12">IF(($E61&gt;0),B61,B60)</f>
        <v>per 1000 youth</v>
      </c>
      <c r="C67" s="49">
        <f t="shared" si="12"/>
        <v>1.879</v>
      </c>
      <c r="D67" s="49">
        <f t="shared" si="12"/>
        <v>2.5999999999999999E-2</v>
      </c>
      <c r="E67" s="49">
        <f>MAX(C67:D67)</f>
        <v>1.879</v>
      </c>
      <c r="G67" s="1" t="str">
        <f>G61</f>
        <v>per 100 arrests</v>
      </c>
      <c r="L67" s="58">
        <f>IF(($E61&gt;0),L61,L60)</f>
        <v>1000</v>
      </c>
      <c r="M67" s="58">
        <f>IF((B67=G67),1,2)</f>
        <v>2</v>
      </c>
    </row>
    <row r="68" spans="2:13" ht="15" hidden="1" customHeight="1" x14ac:dyDescent="0.25">
      <c r="B68" s="49" t="str">
        <f t="shared" si="12"/>
        <v>per 100 referrals</v>
      </c>
      <c r="C68" s="49">
        <f t="shared" si="12"/>
        <v>0.33</v>
      </c>
      <c r="D68" s="49">
        <f t="shared" si="12"/>
        <v>0</v>
      </c>
      <c r="E68" s="49">
        <f>MAX(C68:D68)</f>
        <v>0.33</v>
      </c>
      <c r="G68" s="1" t="str">
        <f>G62</f>
        <v>per 100 referrals</v>
      </c>
      <c r="L68" s="58">
        <f>IF(($E62&gt;0),L62,L61)</f>
        <v>100</v>
      </c>
      <c r="M68" s="58">
        <f>IF((B68=G68),1,2)</f>
        <v>1</v>
      </c>
    </row>
    <row r="69" spans="2:13" ht="15" hidden="1" customHeight="1" x14ac:dyDescent="0.25">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Charlevoix</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1879</v>
      </c>
      <c r="D6" s="34"/>
      <c r="E6" s="33">
        <f>'Data Entry'!E6</f>
        <v>71</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Entry'!E7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71</v>
      </c>
      <c r="P7" s="42">
        <f t="shared" ref="P7:P15" si="4">C7</f>
        <v>0</v>
      </c>
      <c r="Q7" s="42">
        <f>C6-C7</f>
        <v>1879</v>
      </c>
      <c r="R7" s="42">
        <f t="shared" ref="R7:R15" si="5">SUM(N7:Q7)</f>
        <v>1950</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33</v>
      </c>
      <c r="D8" s="34">
        <f>IF((AND(C67&gt;0,C8&gt;0)),(C8/C67),0)</f>
        <v>17.562533262373602</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71.05</v>
      </c>
      <c r="P8" s="42">
        <f t="shared" si="4"/>
        <v>33</v>
      </c>
      <c r="Q8" s="42">
        <f>(C$67*L67)-C8</f>
        <v>1846</v>
      </c>
      <c r="R8" s="42">
        <f t="shared" si="5"/>
        <v>1950.05</v>
      </c>
      <c r="S8" s="30">
        <f t="shared" si="6"/>
        <v>10720172933.056126</v>
      </c>
      <c r="T8" s="30">
        <f t="shared" si="7"/>
        <v>8445750399.8174992</v>
      </c>
      <c r="U8" s="31">
        <f t="shared" si="8"/>
        <v>1.2692978628977449</v>
      </c>
    </row>
    <row r="9" spans="2:21" ht="18" customHeight="1" x14ac:dyDescent="0.25">
      <c r="B9" s="32" t="str">
        <f>'Data Entry'!A9</f>
        <v xml:space="preserve">4. Cases Diverted </v>
      </c>
      <c r="C9" s="33">
        <f>'Data Entry'!C9</f>
        <v>1</v>
      </c>
      <c r="D9" s="34">
        <f>IF((AND(C68&gt;0,C9&gt;0)),((C9/C68)),0)</f>
        <v>3.0303030303030303</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32</v>
      </c>
      <c r="R9" s="42">
        <f t="shared" si="5"/>
        <v>33</v>
      </c>
      <c r="S9" s="30">
        <f t="shared" si="6"/>
        <v>0</v>
      </c>
      <c r="T9" s="30">
        <f t="shared" si="7"/>
        <v>0</v>
      </c>
      <c r="U9" s="31" t="str">
        <f t="shared" si="8"/>
        <v>- -</v>
      </c>
    </row>
    <row r="10" spans="2:21" ht="18" customHeight="1" x14ac:dyDescent="0.25">
      <c r="B10" s="32" t="str">
        <f>'Data Entry'!A10</f>
        <v>5. Cases Involving Secure Detention</v>
      </c>
      <c r="C10" s="33">
        <f>'Data Entry'!C10</f>
        <v>3</v>
      </c>
      <c r="D10" s="34">
        <f>IF(((AND(C68&gt;0,C10&gt;0))),(C10/(C68)),0)</f>
        <v>9.0909090909090899</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30</v>
      </c>
      <c r="R10" s="42">
        <f t="shared" si="5"/>
        <v>33</v>
      </c>
      <c r="S10" s="30">
        <f t="shared" si="6"/>
        <v>0</v>
      </c>
      <c r="T10" s="30">
        <f t="shared" si="7"/>
        <v>0</v>
      </c>
      <c r="U10" s="31" t="str">
        <f t="shared" si="8"/>
        <v>- -</v>
      </c>
    </row>
    <row r="11" spans="2:21" ht="18" customHeight="1" x14ac:dyDescent="0.25">
      <c r="B11" s="32" t="str">
        <f>'Data Entry'!A11</f>
        <v>6. Cases Petitioned (Charge Filed)</v>
      </c>
      <c r="C11" s="33">
        <f>'Data Entry'!C11</f>
        <v>23</v>
      </c>
      <c r="D11" s="34">
        <f>IF(((AND(C68&gt;0,C11&gt;0))),(C11/(C68)),0)</f>
        <v>69.696969696969688</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10</v>
      </c>
      <c r="R11" s="42">
        <f t="shared" si="5"/>
        <v>33</v>
      </c>
      <c r="S11" s="30">
        <f t="shared" si="6"/>
        <v>0</v>
      </c>
      <c r="T11" s="30">
        <f t="shared" si="7"/>
        <v>0</v>
      </c>
      <c r="U11" s="31" t="str">
        <f t="shared" si="8"/>
        <v>- -</v>
      </c>
    </row>
    <row r="12" spans="2:21" ht="18" customHeight="1" x14ac:dyDescent="0.25">
      <c r="B12" s="32" t="str">
        <f>'Data Entry'!A12</f>
        <v>7. Cases Resulting in Delinquent Findings</v>
      </c>
      <c r="C12" s="33">
        <f>'Data Entry'!C12</f>
        <v>16</v>
      </c>
      <c r="D12" s="34">
        <f>IF(((AND(C69&gt;0,C12&gt;0))),(C12/(C69)),0)</f>
        <v>69.565217391304344</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7</v>
      </c>
      <c r="R12" s="42">
        <f t="shared" si="5"/>
        <v>23</v>
      </c>
      <c r="S12" s="30">
        <f t="shared" si="6"/>
        <v>0</v>
      </c>
      <c r="T12" s="30">
        <f t="shared" si="7"/>
        <v>0</v>
      </c>
      <c r="U12" s="31" t="str">
        <f t="shared" si="8"/>
        <v>- -</v>
      </c>
    </row>
    <row r="13" spans="2:21" ht="18" customHeight="1" x14ac:dyDescent="0.25">
      <c r="B13" s="32" t="str">
        <f>'Data Entry'!A13</f>
        <v>8. Cases Resulting in Probation Placement</v>
      </c>
      <c r="C13" s="33">
        <f>'Data Entry'!C13</f>
        <v>27</v>
      </c>
      <c r="D13" s="34">
        <f>IF(((AND(C70&gt;0,C13&gt;0))),(C13/(C70)),0)</f>
        <v>168.75</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27</v>
      </c>
      <c r="Q13" s="42">
        <f>(C70*L70)-C13</f>
        <v>-11</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18.75</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13</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1.879</v>
      </c>
      <c r="D42" s="56">
        <f>E6/1000</f>
        <v>7.0999999999999994E-2</v>
      </c>
      <c r="E42" s="56">
        <f>MAX(C42:D42)</f>
        <v>1.879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0.33</v>
      </c>
      <c r="D44" s="56">
        <f>E8/100</f>
        <v>0</v>
      </c>
      <c r="E44" s="56">
        <f>MAX(C44:D44,0)</f>
        <v>0.33</v>
      </c>
      <c r="G44" s="1" t="str">
        <f>B44</f>
        <v>per 100 referrals</v>
      </c>
      <c r="L44" s="57">
        <v>100</v>
      </c>
      <c r="M44" s="57"/>
      <c r="R44" s="49"/>
    </row>
    <row r="45" spans="2:18" ht="15" hidden="1" customHeight="1" x14ac:dyDescent="0.25">
      <c r="B45" s="49" t="s">
        <v>89</v>
      </c>
      <c r="C45" s="49">
        <f>C11/100</f>
        <v>0.23</v>
      </c>
      <c r="D45" s="49">
        <f>E11/100</f>
        <v>0</v>
      </c>
      <c r="E45" s="56">
        <f>MAX(C45:D45,0)</f>
        <v>0.23</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1.879</v>
      </c>
      <c r="D48" s="56">
        <f>D42</f>
        <v>7.0999999999999994E-2</v>
      </c>
      <c r="E48" s="56">
        <f>MAX(C48:D48)</f>
        <v>1.879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1.879</v>
      </c>
      <c r="D49" s="49">
        <f t="shared" si="9"/>
        <v>7.0999999999999994E-2</v>
      </c>
      <c r="E49" s="49">
        <f>MAX(C49:D49)</f>
        <v>1.879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0.33</v>
      </c>
      <c r="D50" s="49">
        <f t="shared" si="9"/>
        <v>0</v>
      </c>
      <c r="E50" s="49">
        <f>MAX(C50:D50)</f>
        <v>0.33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1.879</v>
      </c>
      <c r="D54" s="56">
        <f>D48</f>
        <v>7.0999999999999994E-2</v>
      </c>
      <c r="E54" s="56">
        <f>MAX(C54:D54)</f>
        <v>1.879</v>
      </c>
      <c r="G54" s="1" t="str">
        <f>G48</f>
        <v>per 1000 youth</v>
      </c>
      <c r="L54" s="58">
        <f>L48</f>
        <v>1000</v>
      </c>
      <c r="M54" s="58"/>
    </row>
    <row r="55" spans="2:18" ht="15" hidden="1" customHeight="1" x14ac:dyDescent="0.25">
      <c r="B55" s="49" t="str">
        <f t="shared" ref="B55:D56" si="10">IF(($E49&gt;0),B49,B48)</f>
        <v>per 1000 youth</v>
      </c>
      <c r="C55" s="49">
        <f t="shared" si="10"/>
        <v>1.879</v>
      </c>
      <c r="D55" s="49">
        <f t="shared" si="10"/>
        <v>7.0999999999999994E-2</v>
      </c>
      <c r="E55" s="49">
        <f>MAX(C55:D55)</f>
        <v>1.879</v>
      </c>
      <c r="G55" s="1" t="str">
        <f>G49</f>
        <v>per 100 arrests</v>
      </c>
      <c r="L55" s="58">
        <f>IF(($E49&gt;0),L49,L48)</f>
        <v>1000</v>
      </c>
      <c r="M55" s="58"/>
    </row>
    <row r="56" spans="2:18" ht="15" hidden="1" customHeight="1" x14ac:dyDescent="0.25">
      <c r="B56" s="49" t="str">
        <f t="shared" si="10"/>
        <v>per 100 referrals</v>
      </c>
      <c r="C56" s="49">
        <f t="shared" si="10"/>
        <v>0.33</v>
      </c>
      <c r="D56" s="49">
        <f t="shared" si="10"/>
        <v>0</v>
      </c>
      <c r="E56" s="49">
        <f>MAX(C56:D56)</f>
        <v>0.33</v>
      </c>
      <c r="G56" s="1" t="str">
        <f>G50</f>
        <v>per 100 referrals</v>
      </c>
      <c r="L56" s="58">
        <f>IF(($E50&gt;0),L50,L49)</f>
        <v>100</v>
      </c>
      <c r="M56" s="58"/>
    </row>
    <row r="57" spans="2:18" ht="15" hidden="1" customHeight="1" x14ac:dyDescent="0.25">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1.879</v>
      </c>
      <c r="D60" s="56">
        <f>D54</f>
        <v>7.0999999999999994E-2</v>
      </c>
      <c r="E60" s="56">
        <f>MAX(C60:D60)</f>
        <v>1.879</v>
      </c>
      <c r="G60" s="1" t="str">
        <f>G54</f>
        <v>per 1000 youth</v>
      </c>
      <c r="L60" s="58">
        <f>L54</f>
        <v>1000</v>
      </c>
      <c r="M60" s="58"/>
    </row>
    <row r="61" spans="2:18" ht="15" hidden="1" customHeight="1" x14ac:dyDescent="0.25">
      <c r="B61" s="49" t="str">
        <f t="shared" ref="B61:D62" si="11">IF(($E55&gt;0),B55,B54)</f>
        <v>per 1000 youth</v>
      </c>
      <c r="C61" s="49">
        <f t="shared" si="11"/>
        <v>1.879</v>
      </c>
      <c r="D61" s="49">
        <f t="shared" si="11"/>
        <v>7.0999999999999994E-2</v>
      </c>
      <c r="E61" s="49">
        <f>MAX(C61:D61)</f>
        <v>1.879</v>
      </c>
      <c r="G61" s="1" t="str">
        <f>G55</f>
        <v>per 100 arrests</v>
      </c>
      <c r="L61" s="58">
        <f>IF(($E55&gt;0),L55,L54)</f>
        <v>1000</v>
      </c>
      <c r="M61" s="58"/>
    </row>
    <row r="62" spans="2:18" ht="15" hidden="1" customHeight="1" x14ac:dyDescent="0.25">
      <c r="B62" s="49" t="str">
        <f t="shared" si="11"/>
        <v>per 100 referrals</v>
      </c>
      <c r="C62" s="49">
        <f t="shared" si="11"/>
        <v>0.33</v>
      </c>
      <c r="D62" s="49">
        <f t="shared" si="11"/>
        <v>0</v>
      </c>
      <c r="E62" s="49">
        <f>MAX(C62:D62)</f>
        <v>0.33</v>
      </c>
      <c r="G62" s="1" t="str">
        <f>G56</f>
        <v>per 100 referrals</v>
      </c>
      <c r="L62" s="58">
        <f>IF(($E56&gt;0),L56,L55)</f>
        <v>100</v>
      </c>
      <c r="M62" s="58"/>
    </row>
    <row r="63" spans="2:18" ht="15" hidden="1" customHeight="1" x14ac:dyDescent="0.25">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1.879</v>
      </c>
      <c r="D66" s="56">
        <f>D60</f>
        <v>7.0999999999999994E-2</v>
      </c>
      <c r="E66" s="56">
        <f>MAX(C66:D66)</f>
        <v>1.879</v>
      </c>
      <c r="G66" s="1" t="str">
        <f>G60</f>
        <v>per 1000 youth</v>
      </c>
      <c r="L66" s="58">
        <f>L60</f>
        <v>1000</v>
      </c>
      <c r="M66" s="58">
        <f>IF((B66=G66),1,2)</f>
        <v>1</v>
      </c>
    </row>
    <row r="67" spans="2:13" ht="15" hidden="1" customHeight="1" x14ac:dyDescent="0.25">
      <c r="B67" s="49" t="str">
        <f t="shared" ref="B67:D68" si="12">IF(($E61&gt;0),B61,B60)</f>
        <v>per 1000 youth</v>
      </c>
      <c r="C67" s="49">
        <f t="shared" si="12"/>
        <v>1.879</v>
      </c>
      <c r="D67" s="49">
        <f t="shared" si="12"/>
        <v>7.0999999999999994E-2</v>
      </c>
      <c r="E67" s="49">
        <f>MAX(C67:D67)</f>
        <v>1.879</v>
      </c>
      <c r="G67" s="1" t="str">
        <f>G61</f>
        <v>per 100 arrests</v>
      </c>
      <c r="L67" s="58">
        <f>IF(($E61&gt;0),L61,L60)</f>
        <v>1000</v>
      </c>
      <c r="M67" s="58">
        <f>IF((B67=G67),1,2)</f>
        <v>2</v>
      </c>
    </row>
    <row r="68" spans="2:13" ht="15" hidden="1" customHeight="1" x14ac:dyDescent="0.25">
      <c r="B68" s="49" t="str">
        <f t="shared" si="12"/>
        <v>per 100 referrals</v>
      </c>
      <c r="C68" s="49">
        <f t="shared" si="12"/>
        <v>0.33</v>
      </c>
      <c r="D68" s="49">
        <f t="shared" si="12"/>
        <v>0</v>
      </c>
      <c r="E68" s="49">
        <f>MAX(C68:D68)</f>
        <v>0.33</v>
      </c>
      <c r="G68" s="1" t="str">
        <f>G62</f>
        <v>per 100 referrals</v>
      </c>
      <c r="L68" s="58">
        <f>IF(($E62&gt;0),L62,L61)</f>
        <v>100</v>
      </c>
      <c r="M68" s="58">
        <f>IF((B68=G68),1,2)</f>
        <v>1</v>
      </c>
    </row>
    <row r="69" spans="2:13" ht="15" hidden="1" customHeight="1" x14ac:dyDescent="0.25">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Charlevoix</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1879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1879</v>
      </c>
      <c r="R7" s="42">
        <f t="shared" ref="R7:R15" si="5">SUM(N7:Q7)</f>
        <v>1879</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33</v>
      </c>
      <c r="D8" s="34">
        <f>IF((AND(C67&gt;0,C8&gt;0)),(C8/C67),0)</f>
        <v>17.562533262373602</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33</v>
      </c>
      <c r="Q8" s="42">
        <f>(C$67*L67)-C8</f>
        <v>1846</v>
      </c>
      <c r="R8" s="42">
        <f t="shared" si="5"/>
        <v>1879.05</v>
      </c>
      <c r="S8" s="30">
        <f t="shared" si="6"/>
        <v>5115.7136250000012</v>
      </c>
      <c r="T8" s="30">
        <f t="shared" si="7"/>
        <v>5723401.1174999997</v>
      </c>
      <c r="U8" s="31">
        <f t="shared" si="8"/>
        <v>8.9382406020051264E-4</v>
      </c>
    </row>
    <row r="9" spans="2:21" ht="18" customHeight="1" x14ac:dyDescent="0.25">
      <c r="B9" s="32" t="str">
        <f>'Data Entry'!A9</f>
        <v xml:space="preserve">4. Cases Diverted </v>
      </c>
      <c r="C9" s="33">
        <f>'Data Entry'!C9</f>
        <v>1</v>
      </c>
      <c r="D9" s="34">
        <f>IF((AND(C68&gt;0,C9&gt;0)),((C9/C68)),0)</f>
        <v>3.0303030303030303</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32</v>
      </c>
      <c r="R9" s="42">
        <f t="shared" si="5"/>
        <v>33</v>
      </c>
      <c r="S9" s="30">
        <f t="shared" si="6"/>
        <v>0</v>
      </c>
      <c r="T9" s="30">
        <f t="shared" si="7"/>
        <v>0</v>
      </c>
      <c r="U9" s="31" t="str">
        <f t="shared" si="8"/>
        <v>- -</v>
      </c>
    </row>
    <row r="10" spans="2:21" ht="18" customHeight="1" x14ac:dyDescent="0.25">
      <c r="B10" s="32" t="str">
        <f>'Data Entry'!A10</f>
        <v>5. Cases Involving Secure Detention</v>
      </c>
      <c r="C10" s="33">
        <f>'Data Entry'!C10</f>
        <v>3</v>
      </c>
      <c r="D10" s="34">
        <f>IF(((AND(C68&gt;0,C10&gt;0))),(C10/(C68)),0)</f>
        <v>9.0909090909090899</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30</v>
      </c>
      <c r="R10" s="42">
        <f t="shared" si="5"/>
        <v>33</v>
      </c>
      <c r="S10" s="30">
        <f t="shared" si="6"/>
        <v>0</v>
      </c>
      <c r="T10" s="30">
        <f t="shared" si="7"/>
        <v>0</v>
      </c>
      <c r="U10" s="31" t="str">
        <f t="shared" si="8"/>
        <v>- -</v>
      </c>
    </row>
    <row r="11" spans="2:21" ht="18" customHeight="1" x14ac:dyDescent="0.25">
      <c r="B11" s="32" t="str">
        <f>'Data Entry'!A11</f>
        <v>6. Cases Petitioned (Charge Filed)</v>
      </c>
      <c r="C11" s="33">
        <f>'Data Entry'!C11</f>
        <v>23</v>
      </c>
      <c r="D11" s="34">
        <f>IF(((AND(C68&gt;0,C11&gt;0))),(C11/(C68)),0)</f>
        <v>69.696969696969688</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10</v>
      </c>
      <c r="R11" s="42">
        <f t="shared" si="5"/>
        <v>33</v>
      </c>
      <c r="S11" s="30">
        <f t="shared" si="6"/>
        <v>0</v>
      </c>
      <c r="T11" s="30">
        <f t="shared" si="7"/>
        <v>0</v>
      </c>
      <c r="U11" s="31" t="str">
        <f t="shared" si="8"/>
        <v>- -</v>
      </c>
    </row>
    <row r="12" spans="2:21" ht="18" customHeight="1" x14ac:dyDescent="0.25">
      <c r="B12" s="32" t="str">
        <f>'Data Entry'!A12</f>
        <v>7. Cases Resulting in Delinquent Findings</v>
      </c>
      <c r="C12" s="33">
        <f>'Data Entry'!C12</f>
        <v>16</v>
      </c>
      <c r="D12" s="34">
        <f>IF(((AND(C69&gt;0,C12&gt;0))),(C12/(C69)),0)</f>
        <v>69.565217391304344</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7</v>
      </c>
      <c r="R12" s="42">
        <f t="shared" si="5"/>
        <v>23</v>
      </c>
      <c r="S12" s="30">
        <f t="shared" si="6"/>
        <v>0</v>
      </c>
      <c r="T12" s="30">
        <f t="shared" si="7"/>
        <v>0</v>
      </c>
      <c r="U12" s="31" t="str">
        <f t="shared" si="8"/>
        <v>- -</v>
      </c>
    </row>
    <row r="13" spans="2:21" ht="18" customHeight="1" x14ac:dyDescent="0.25">
      <c r="B13" s="32" t="str">
        <f>'Data Entry'!A13</f>
        <v>8. Cases Resulting in Probation Placement</v>
      </c>
      <c r="C13" s="33">
        <f>'Data Entry'!C13</f>
        <v>27</v>
      </c>
      <c r="D13" s="34">
        <f>IF(((AND(C70&gt;0,C13&gt;0))),(C13/(C70)),0)</f>
        <v>168.75</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27</v>
      </c>
      <c r="Q13" s="42">
        <f>(C70*L70)-C13</f>
        <v>-11</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18.75</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13</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1.879</v>
      </c>
      <c r="D42" s="56">
        <f>E6/1000</f>
        <v>0</v>
      </c>
      <c r="E42" s="56">
        <f>MAX(C42:D42)</f>
        <v>1.879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0.33</v>
      </c>
      <c r="D44" s="56">
        <f>E8/100</f>
        <v>0</v>
      </c>
      <c r="E44" s="56">
        <f>MAX(C44:D44,0)</f>
        <v>0.33</v>
      </c>
      <c r="G44" s="1" t="str">
        <f>B44</f>
        <v>per 100 referrals</v>
      </c>
      <c r="L44" s="57">
        <v>100</v>
      </c>
      <c r="M44" s="57"/>
      <c r="R44" s="49"/>
    </row>
    <row r="45" spans="2:18" ht="15" hidden="1" customHeight="1" x14ac:dyDescent="0.25">
      <c r="B45" s="49" t="s">
        <v>89</v>
      </c>
      <c r="C45" s="49">
        <f>C11/100</f>
        <v>0.23</v>
      </c>
      <c r="D45" s="49">
        <f>E11/100</f>
        <v>0</v>
      </c>
      <c r="E45" s="56">
        <f>MAX(C45:D45,0)</f>
        <v>0.23</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1.879</v>
      </c>
      <c r="D48" s="56">
        <f>D42</f>
        <v>0</v>
      </c>
      <c r="E48" s="56">
        <f>MAX(C48:D48)</f>
        <v>1.879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1.879</v>
      </c>
      <c r="D49" s="49">
        <f t="shared" si="9"/>
        <v>0</v>
      </c>
      <c r="E49" s="49">
        <f>MAX(C49:D49)</f>
        <v>1.879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0.33</v>
      </c>
      <c r="D50" s="49">
        <f t="shared" si="9"/>
        <v>0</v>
      </c>
      <c r="E50" s="49">
        <f>MAX(C50:D50)</f>
        <v>0.33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1.879</v>
      </c>
      <c r="D54" s="56">
        <f>D48</f>
        <v>0</v>
      </c>
      <c r="E54" s="56">
        <f>MAX(C54:D54)</f>
        <v>1.879</v>
      </c>
      <c r="G54" s="1" t="str">
        <f>G48</f>
        <v>per 1000 youth</v>
      </c>
      <c r="L54" s="58">
        <f>L48</f>
        <v>1000</v>
      </c>
      <c r="M54" s="58"/>
    </row>
    <row r="55" spans="2:18" ht="15" hidden="1" customHeight="1" x14ac:dyDescent="0.25">
      <c r="B55" s="49" t="str">
        <f t="shared" ref="B55:D56" si="10">IF(($E49&gt;0),B49,B48)</f>
        <v>per 1000 youth</v>
      </c>
      <c r="C55" s="49">
        <f t="shared" si="10"/>
        <v>1.879</v>
      </c>
      <c r="D55" s="49">
        <f t="shared" si="10"/>
        <v>0</v>
      </c>
      <c r="E55" s="49">
        <f>MAX(C55:D55)</f>
        <v>1.879</v>
      </c>
      <c r="G55" s="1" t="str">
        <f>G49</f>
        <v>per 100 arrests</v>
      </c>
      <c r="L55" s="58">
        <f>IF(($E49&gt;0),L49,L48)</f>
        <v>1000</v>
      </c>
      <c r="M55" s="58"/>
    </row>
    <row r="56" spans="2:18" ht="15" hidden="1" customHeight="1" x14ac:dyDescent="0.25">
      <c r="B56" s="49" t="str">
        <f t="shared" si="10"/>
        <v>per 100 referrals</v>
      </c>
      <c r="C56" s="49">
        <f t="shared" si="10"/>
        <v>0.33</v>
      </c>
      <c r="D56" s="49">
        <f t="shared" si="10"/>
        <v>0</v>
      </c>
      <c r="E56" s="49">
        <f>MAX(C56:D56)</f>
        <v>0.33</v>
      </c>
      <c r="G56" s="1" t="str">
        <f>G50</f>
        <v>per 100 referrals</v>
      </c>
      <c r="L56" s="58">
        <f>IF(($E50&gt;0),L50,L49)</f>
        <v>100</v>
      </c>
      <c r="M56" s="58"/>
    </row>
    <row r="57" spans="2:18" ht="15" hidden="1" customHeight="1" x14ac:dyDescent="0.25">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1.879</v>
      </c>
      <c r="D60" s="56">
        <f>D54</f>
        <v>0</v>
      </c>
      <c r="E60" s="56">
        <f>MAX(C60:D60)</f>
        <v>1.879</v>
      </c>
      <c r="G60" s="1" t="str">
        <f>G54</f>
        <v>per 1000 youth</v>
      </c>
      <c r="L60" s="58">
        <f>L54</f>
        <v>1000</v>
      </c>
      <c r="M60" s="58"/>
    </row>
    <row r="61" spans="2:18" ht="15" hidden="1" customHeight="1" x14ac:dyDescent="0.25">
      <c r="B61" s="49" t="str">
        <f t="shared" ref="B61:D62" si="11">IF(($E55&gt;0),B55,B54)</f>
        <v>per 1000 youth</v>
      </c>
      <c r="C61" s="49">
        <f t="shared" si="11"/>
        <v>1.879</v>
      </c>
      <c r="D61" s="49">
        <f t="shared" si="11"/>
        <v>0</v>
      </c>
      <c r="E61" s="49">
        <f>MAX(C61:D61)</f>
        <v>1.879</v>
      </c>
      <c r="G61" s="1" t="str">
        <f>G55</f>
        <v>per 100 arrests</v>
      </c>
      <c r="L61" s="58">
        <f>IF(($E55&gt;0),L55,L54)</f>
        <v>1000</v>
      </c>
      <c r="M61" s="58"/>
    </row>
    <row r="62" spans="2:18" ht="15" hidden="1" customHeight="1" x14ac:dyDescent="0.25">
      <c r="B62" s="49" t="str">
        <f t="shared" si="11"/>
        <v>per 100 referrals</v>
      </c>
      <c r="C62" s="49">
        <f t="shared" si="11"/>
        <v>0.33</v>
      </c>
      <c r="D62" s="49">
        <f t="shared" si="11"/>
        <v>0</v>
      </c>
      <c r="E62" s="49">
        <f>MAX(C62:D62)</f>
        <v>0.33</v>
      </c>
      <c r="G62" s="1" t="str">
        <f>G56</f>
        <v>per 100 referrals</v>
      </c>
      <c r="L62" s="58">
        <f>IF(($E56&gt;0),L56,L55)</f>
        <v>100</v>
      </c>
      <c r="M62" s="58"/>
    </row>
    <row r="63" spans="2:18" ht="15" hidden="1" customHeight="1" x14ac:dyDescent="0.25">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1.879</v>
      </c>
      <c r="D66" s="56">
        <f>D60</f>
        <v>0</v>
      </c>
      <c r="E66" s="56">
        <f>MAX(C66:D66)</f>
        <v>1.879</v>
      </c>
      <c r="G66" s="1" t="str">
        <f>G60</f>
        <v>per 1000 youth</v>
      </c>
      <c r="L66" s="58">
        <f>L60</f>
        <v>1000</v>
      </c>
      <c r="M66" s="58">
        <f>IF((B66=G66),1,2)</f>
        <v>1</v>
      </c>
    </row>
    <row r="67" spans="2:13" ht="15" hidden="1" customHeight="1" x14ac:dyDescent="0.25">
      <c r="B67" s="49" t="str">
        <f t="shared" ref="B67:D68" si="12">IF(($E61&gt;0),B61,B60)</f>
        <v>per 1000 youth</v>
      </c>
      <c r="C67" s="49">
        <f t="shared" si="12"/>
        <v>1.879</v>
      </c>
      <c r="D67" s="49">
        <f t="shared" si="12"/>
        <v>0</v>
      </c>
      <c r="E67" s="49">
        <f>MAX(C67:D67)</f>
        <v>1.879</v>
      </c>
      <c r="G67" s="1" t="str">
        <f>G61</f>
        <v>per 100 arrests</v>
      </c>
      <c r="L67" s="58">
        <f>IF(($E61&gt;0),L61,L60)</f>
        <v>1000</v>
      </c>
      <c r="M67" s="58">
        <f>IF((B67=G67),1,2)</f>
        <v>2</v>
      </c>
    </row>
    <row r="68" spans="2:13" ht="15" hidden="1" customHeight="1" x14ac:dyDescent="0.25">
      <c r="B68" s="49" t="str">
        <f t="shared" si="12"/>
        <v>per 100 referrals</v>
      </c>
      <c r="C68" s="49">
        <f t="shared" si="12"/>
        <v>0.33</v>
      </c>
      <c r="D68" s="49">
        <f t="shared" si="12"/>
        <v>0</v>
      </c>
      <c r="E68" s="49">
        <f>MAX(C68:D68)</f>
        <v>0.33</v>
      </c>
      <c r="G68" s="1" t="str">
        <f>G62</f>
        <v>per 100 referrals</v>
      </c>
      <c r="L68" s="58">
        <f>IF(($E62&gt;0),L62,L61)</f>
        <v>100</v>
      </c>
      <c r="M68" s="58">
        <f>IF((B68=G68),1,2)</f>
        <v>1</v>
      </c>
    </row>
    <row r="69" spans="2:13" ht="15" hidden="1" customHeight="1" x14ac:dyDescent="0.25">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Charlevoix</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1879</v>
      </c>
      <c r="D6" s="34"/>
      <c r="E6" s="33">
        <f>'Data Entry'!H6</f>
        <v>26</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Entry'!H7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26</v>
      </c>
      <c r="P7" s="42">
        <f t="shared" ref="P7:P15" si="4">C7</f>
        <v>0</v>
      </c>
      <c r="Q7" s="42">
        <f>C6-C7</f>
        <v>1879</v>
      </c>
      <c r="R7" s="42">
        <f t="shared" ref="R7:R15" si="5">SUM(N7:Q7)</f>
        <v>1905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33</v>
      </c>
      <c r="D8" s="34">
        <f>IF((AND(C67&gt;0,C8&gt;0)),(C8/C67),0)</f>
        <v>17.562533262373602</v>
      </c>
      <c r="E8" s="33">
        <f>'Data Entry'!H8</f>
        <v>1</v>
      </c>
      <c r="F8" s="34">
        <f>IF((AND($E$8&gt;0,$D$67&gt;0)),($E8/$D67),0)</f>
        <v>38.46153846153846</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25.05</v>
      </c>
      <c r="P8" s="42">
        <f t="shared" si="4"/>
        <v>33</v>
      </c>
      <c r="Q8" s="42">
        <f>(C$67*L67)-C8</f>
        <v>1846</v>
      </c>
      <c r="R8" s="42">
        <f t="shared" si="5"/>
        <v>1905.05</v>
      </c>
      <c r="S8" s="30">
        <f t="shared" si="6"/>
        <v>1979488728.5836251</v>
      </c>
      <c r="T8" s="30">
        <f t="shared" si="7"/>
        <v>3113858102.8150001</v>
      </c>
      <c r="U8" s="31">
        <f t="shared" si="8"/>
        <v>0.63570293289669211</v>
      </c>
    </row>
    <row r="9" spans="2:21" ht="18" customHeight="1" x14ac:dyDescent="0.25">
      <c r="B9" s="32" t="str">
        <f>'Data Entry'!A9</f>
        <v xml:space="preserve">4. Cases Diverted </v>
      </c>
      <c r="C9" s="33">
        <f>'Data Entry'!C9</f>
        <v>1</v>
      </c>
      <c r="D9" s="34">
        <f>IF((AND(C68&gt;0,C9&gt;0)),((C9/C68)),0)</f>
        <v>3.0303030303030303</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1</v>
      </c>
      <c r="Q9" s="42">
        <f>(C$68*L68)-C9</f>
        <v>32</v>
      </c>
      <c r="R9" s="42">
        <f t="shared" si="5"/>
        <v>34</v>
      </c>
      <c r="S9" s="30">
        <f t="shared" si="6"/>
        <v>34</v>
      </c>
      <c r="T9" s="30">
        <f t="shared" si="7"/>
        <v>1089</v>
      </c>
      <c r="U9" s="31">
        <f t="shared" si="8"/>
        <v>3.1221303948576674E-2</v>
      </c>
    </row>
    <row r="10" spans="2:21" ht="18" customHeight="1" x14ac:dyDescent="0.25">
      <c r="B10" s="32" t="str">
        <f>'Data Entry'!A10</f>
        <v>5. Cases Involving Secure Detention</v>
      </c>
      <c r="C10" s="33">
        <f>'Data Entry'!C10</f>
        <v>3</v>
      </c>
      <c r="D10" s="34">
        <f>IF(((AND(C68&gt;0,C10&gt;0))),(C10/(C68)),0)</f>
        <v>9.0909090909090899</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3</v>
      </c>
      <c r="Q10" s="42">
        <f>(C$68*L68)-C10</f>
        <v>30</v>
      </c>
      <c r="R10" s="42">
        <f t="shared" si="5"/>
        <v>34</v>
      </c>
      <c r="S10" s="30">
        <f t="shared" si="6"/>
        <v>306</v>
      </c>
      <c r="T10" s="30">
        <f t="shared" si="7"/>
        <v>3069</v>
      </c>
      <c r="U10" s="31">
        <f t="shared" si="8"/>
        <v>9.9706744868035185E-2</v>
      </c>
    </row>
    <row r="11" spans="2:21" ht="18" customHeight="1" x14ac:dyDescent="0.25">
      <c r="B11" s="32" t="str">
        <f>'Data Entry'!A11</f>
        <v>6. Cases Petitioned (Charge Filed)</v>
      </c>
      <c r="C11" s="33">
        <f>'Data Entry'!C11</f>
        <v>23</v>
      </c>
      <c r="D11" s="34">
        <f>IF(((AND(C68&gt;0,C11&gt;0))),(C11/(C68)),0)</f>
        <v>69.696969696969688</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23</v>
      </c>
      <c r="Q11" s="42">
        <f>(C$68*L68)-C11</f>
        <v>10</v>
      </c>
      <c r="R11" s="42">
        <f t="shared" si="5"/>
        <v>34</v>
      </c>
      <c r="S11" s="30">
        <f t="shared" si="6"/>
        <v>17986</v>
      </c>
      <c r="T11" s="30">
        <f t="shared" si="7"/>
        <v>8349</v>
      </c>
      <c r="U11" s="31">
        <f t="shared" si="8"/>
        <v>2.1542699724517904</v>
      </c>
    </row>
    <row r="12" spans="2:21" ht="18" customHeight="1" x14ac:dyDescent="0.25">
      <c r="B12" s="32" t="str">
        <f>'Data Entry'!A12</f>
        <v>7. Cases Resulting in Delinquent Findings</v>
      </c>
      <c r="C12" s="33">
        <f>'Data Entry'!C12</f>
        <v>16</v>
      </c>
      <c r="D12" s="34">
        <f>IF(((AND(C69&gt;0,C12&gt;0))),(C12/(C69)),0)</f>
        <v>69.565217391304344</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7</v>
      </c>
      <c r="R12" s="42">
        <f t="shared" si="5"/>
        <v>23</v>
      </c>
      <c r="S12" s="30">
        <f t="shared" si="6"/>
        <v>0</v>
      </c>
      <c r="T12" s="30">
        <f t="shared" si="7"/>
        <v>0</v>
      </c>
      <c r="U12" s="31" t="str">
        <f t="shared" si="8"/>
        <v>- -</v>
      </c>
    </row>
    <row r="13" spans="2:21" ht="18" customHeight="1" x14ac:dyDescent="0.25">
      <c r="B13" s="32" t="str">
        <f>'Data Entry'!A13</f>
        <v>8. Cases Resulting in Probation Placement</v>
      </c>
      <c r="C13" s="33">
        <f>'Data Entry'!C13</f>
        <v>27</v>
      </c>
      <c r="D13" s="34">
        <f>IF(((AND(C70&gt;0,C13&gt;0))),(C13/(C70)),0)</f>
        <v>168.75</v>
      </c>
      <c r="E13" s="33">
        <f>'Data Entry'!H13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27</v>
      </c>
      <c r="Q13" s="42">
        <f>(C70*L70)-C13</f>
        <v>-11</v>
      </c>
      <c r="R13" s="42">
        <f t="shared" si="5"/>
        <v>16</v>
      </c>
      <c r="S13" s="30">
        <f t="shared" si="6"/>
        <v>4096</v>
      </c>
      <c r="T13" s="30">
        <f t="shared" si="7"/>
        <v>0</v>
      </c>
      <c r="U13" s="31" t="e">
        <f t="shared" si="8"/>
        <v>#DIV/0!</v>
      </c>
    </row>
    <row r="14" spans="2:21" ht="30.75" customHeight="1" x14ac:dyDescent="0.25">
      <c r="B14" s="32" t="str">
        <f>'Data Entry'!A14</f>
        <v xml:space="preserve">9. Cases Resulting in Confinement in Secure Juvenile Correctional Facilities </v>
      </c>
      <c r="C14" s="33">
        <f>'Data Entry'!C14</f>
        <v>3</v>
      </c>
      <c r="D14" s="34">
        <f>IF(((AND(C70&gt;0,C14&gt;0))), ((C14/(C70))),0)</f>
        <v>18.75</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13</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1.879</v>
      </c>
      <c r="D42" s="56">
        <f>E6/1000</f>
        <v>2.5999999999999999E-2</v>
      </c>
      <c r="E42" s="56">
        <f>MAX(C42:D42)</f>
        <v>1.879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0.33</v>
      </c>
      <c r="D44" s="56">
        <f>E8/100</f>
        <v>0.01</v>
      </c>
      <c r="E44" s="56">
        <f>MAX(C44:D44,0)</f>
        <v>0.33</v>
      </c>
      <c r="G44" s="1" t="str">
        <f>B44</f>
        <v>per 100 referrals</v>
      </c>
      <c r="L44" s="57">
        <v>100</v>
      </c>
      <c r="M44" s="57"/>
      <c r="R44" s="49"/>
    </row>
    <row r="45" spans="2:18" ht="15" hidden="1" customHeight="1" x14ac:dyDescent="0.25">
      <c r="B45" s="49" t="s">
        <v>89</v>
      </c>
      <c r="C45" s="49">
        <f>C11/100</f>
        <v>0.23</v>
      </c>
      <c r="D45" s="49">
        <f>E11/100</f>
        <v>0</v>
      </c>
      <c r="E45" s="56">
        <f>MAX(C45:D45,0)</f>
        <v>0.23</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1.879</v>
      </c>
      <c r="D48" s="56">
        <f>D42</f>
        <v>2.5999999999999999E-2</v>
      </c>
      <c r="E48" s="56">
        <f>MAX(C48:D48)</f>
        <v>1.879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1.879</v>
      </c>
      <c r="D49" s="49">
        <f t="shared" si="9"/>
        <v>2.5999999999999999E-2</v>
      </c>
      <c r="E49" s="49">
        <f>MAX(C49:D49)</f>
        <v>1.879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0.33</v>
      </c>
      <c r="D50" s="49">
        <f t="shared" si="9"/>
        <v>0.01</v>
      </c>
      <c r="E50" s="49">
        <f>MAX(C50:D50)</f>
        <v>0.33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1.879</v>
      </c>
      <c r="D54" s="56">
        <f>D48</f>
        <v>2.5999999999999999E-2</v>
      </c>
      <c r="E54" s="56">
        <f>MAX(C54:D54)</f>
        <v>1.879</v>
      </c>
      <c r="G54" s="1" t="str">
        <f>G48</f>
        <v>per 1000 youth</v>
      </c>
      <c r="L54" s="58">
        <f>L48</f>
        <v>1000</v>
      </c>
      <c r="M54" s="58"/>
    </row>
    <row r="55" spans="2:18" ht="15" hidden="1" customHeight="1" x14ac:dyDescent="0.25">
      <c r="B55" s="49" t="str">
        <f t="shared" ref="B55:D56" si="10">IF(($E49&gt;0),B49,B48)</f>
        <v>per 1000 youth</v>
      </c>
      <c r="C55" s="49">
        <f t="shared" si="10"/>
        <v>1.879</v>
      </c>
      <c r="D55" s="49">
        <f t="shared" si="10"/>
        <v>2.5999999999999999E-2</v>
      </c>
      <c r="E55" s="49">
        <f>MAX(C55:D55)</f>
        <v>1.879</v>
      </c>
      <c r="G55" s="1" t="str">
        <f>G49</f>
        <v>per 100 arrests</v>
      </c>
      <c r="L55" s="58">
        <f>IF(($E49&gt;0),L49,L48)</f>
        <v>1000</v>
      </c>
      <c r="M55" s="58"/>
    </row>
    <row r="56" spans="2:18" ht="15" hidden="1" customHeight="1" x14ac:dyDescent="0.25">
      <c r="B56" s="49" t="str">
        <f t="shared" si="10"/>
        <v>per 100 referrals</v>
      </c>
      <c r="C56" s="49">
        <f t="shared" si="10"/>
        <v>0.33</v>
      </c>
      <c r="D56" s="49">
        <f t="shared" si="10"/>
        <v>0.01</v>
      </c>
      <c r="E56" s="49">
        <f>MAX(C56:D56)</f>
        <v>0.33</v>
      </c>
      <c r="G56" s="1" t="str">
        <f>G50</f>
        <v>per 100 referrals</v>
      </c>
      <c r="L56" s="58">
        <f>IF(($E50&gt;0),L50,L49)</f>
        <v>100</v>
      </c>
      <c r="M56" s="58"/>
    </row>
    <row r="57" spans="2:18" ht="15" hidden="1" customHeight="1" x14ac:dyDescent="0.25">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1.879</v>
      </c>
      <c r="D60" s="56">
        <f>D54</f>
        <v>2.5999999999999999E-2</v>
      </c>
      <c r="E60" s="56">
        <f>MAX(C60:D60)</f>
        <v>1.879</v>
      </c>
      <c r="G60" s="1" t="str">
        <f>G54</f>
        <v>per 1000 youth</v>
      </c>
      <c r="L60" s="58">
        <f>L54</f>
        <v>1000</v>
      </c>
      <c r="M60" s="58"/>
    </row>
    <row r="61" spans="2:18" ht="15" hidden="1" customHeight="1" x14ac:dyDescent="0.25">
      <c r="B61" s="49" t="str">
        <f t="shared" ref="B61:D62" si="11">IF(($E55&gt;0),B55,B54)</f>
        <v>per 1000 youth</v>
      </c>
      <c r="C61" s="49">
        <f t="shared" si="11"/>
        <v>1.879</v>
      </c>
      <c r="D61" s="49">
        <f t="shared" si="11"/>
        <v>2.5999999999999999E-2</v>
      </c>
      <c r="E61" s="49">
        <f>MAX(C61:D61)</f>
        <v>1.879</v>
      </c>
      <c r="G61" s="1" t="str">
        <f>G55</f>
        <v>per 100 arrests</v>
      </c>
      <c r="L61" s="58">
        <f>IF(($E55&gt;0),L55,L54)</f>
        <v>1000</v>
      </c>
      <c r="M61" s="58"/>
    </row>
    <row r="62" spans="2:18" ht="15" hidden="1" customHeight="1" x14ac:dyDescent="0.25">
      <c r="B62" s="49" t="str">
        <f t="shared" si="11"/>
        <v>per 100 referrals</v>
      </c>
      <c r="C62" s="49">
        <f t="shared" si="11"/>
        <v>0.33</v>
      </c>
      <c r="D62" s="49">
        <f t="shared" si="11"/>
        <v>0.01</v>
      </c>
      <c r="E62" s="49">
        <f>MAX(C62:D62)</f>
        <v>0.33</v>
      </c>
      <c r="G62" s="1" t="str">
        <f>G56</f>
        <v>per 100 referrals</v>
      </c>
      <c r="L62" s="58">
        <f>IF(($E56&gt;0),L56,L55)</f>
        <v>100</v>
      </c>
      <c r="M62" s="58"/>
    </row>
    <row r="63" spans="2:18" ht="15" hidden="1" customHeight="1" x14ac:dyDescent="0.25">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1.879</v>
      </c>
      <c r="D66" s="56">
        <f>D60</f>
        <v>2.5999999999999999E-2</v>
      </c>
      <c r="E66" s="56">
        <f>MAX(C66:D66)</f>
        <v>1.879</v>
      </c>
      <c r="G66" s="1" t="str">
        <f>G60</f>
        <v>per 1000 youth</v>
      </c>
      <c r="L66" s="58">
        <f>L60</f>
        <v>1000</v>
      </c>
      <c r="M66" s="58">
        <f>IF((B66=G66),1,2)</f>
        <v>1</v>
      </c>
    </row>
    <row r="67" spans="2:13" ht="15" hidden="1" customHeight="1" x14ac:dyDescent="0.25">
      <c r="B67" s="49" t="str">
        <f t="shared" ref="B67:D68" si="12">IF(($E61&gt;0),B61,B60)</f>
        <v>per 1000 youth</v>
      </c>
      <c r="C67" s="49">
        <f t="shared" si="12"/>
        <v>1.879</v>
      </c>
      <c r="D67" s="49">
        <f t="shared" si="12"/>
        <v>2.5999999999999999E-2</v>
      </c>
      <c r="E67" s="49">
        <f>MAX(C67:D67)</f>
        <v>1.879</v>
      </c>
      <c r="G67" s="1" t="str">
        <f>G61</f>
        <v>per 100 arrests</v>
      </c>
      <c r="L67" s="58">
        <f>IF(($E61&gt;0),L61,L60)</f>
        <v>1000</v>
      </c>
      <c r="M67" s="58">
        <f>IF((B67=G67),1,2)</f>
        <v>2</v>
      </c>
    </row>
    <row r="68" spans="2:13" ht="15" hidden="1" customHeight="1" x14ac:dyDescent="0.25">
      <c r="B68" s="49" t="str">
        <f t="shared" si="12"/>
        <v>per 100 referrals</v>
      </c>
      <c r="C68" s="49">
        <f t="shared" si="12"/>
        <v>0.33</v>
      </c>
      <c r="D68" s="49">
        <f t="shared" si="12"/>
        <v>0.01</v>
      </c>
      <c r="E68" s="49">
        <f>MAX(C68:D68)</f>
        <v>0.33</v>
      </c>
      <c r="G68" s="1" t="str">
        <f>G62</f>
        <v>per 100 referrals</v>
      </c>
      <c r="L68" s="58">
        <f>IF(($E62&gt;0),L62,L61)</f>
        <v>100</v>
      </c>
      <c r="M68" s="58">
        <f>IF((B68=G68),1,2)</f>
        <v>1</v>
      </c>
    </row>
    <row r="69" spans="2:13" ht="15" hidden="1" customHeight="1" x14ac:dyDescent="0.25">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U47JMPN4QEAR-1806752177-30160</_dlc_DocId>
    <_dlc_DocIdUrl xmlns="ac3811b5-0f3e-49e2-ba69-f2ffa0c782af">
      <Url>https://michiganphi.sharepoint.com/sites/CMDMC/_layouts/15/DocIdRedir.aspx?ID=U47JMPN4QEAR-1806752177-30160</Url>
      <Description>U47JMPN4QEAR-1806752177-30160</Description>
    </_dlc_DocIdUrl>
  </documentManagement>
</p:properties>
</file>

<file path=customXml/itemProps1.xml><?xml version="1.0" encoding="utf-8"?>
<ds:datastoreItem xmlns:ds="http://schemas.openxmlformats.org/officeDocument/2006/customXml" ds:itemID="{88219D26-0123-42A1-B379-D56EFF69F4CE}"/>
</file>

<file path=customXml/itemProps2.xml><?xml version="1.0" encoding="utf-8"?>
<ds:datastoreItem xmlns:ds="http://schemas.openxmlformats.org/officeDocument/2006/customXml" ds:itemID="{9A8F9A4D-BFF3-4370-AD30-B49E67FA7DC4}"/>
</file>

<file path=customXml/itemProps3.xml><?xml version="1.0" encoding="utf-8"?>
<ds:datastoreItem xmlns:ds="http://schemas.openxmlformats.org/officeDocument/2006/customXml" ds:itemID="{87610336-520D-4BA6-9024-6B7008C003EF}"/>
</file>

<file path=customXml/itemProps4.xml><?xml version="1.0" encoding="utf-8"?>
<ds:datastoreItem xmlns:ds="http://schemas.openxmlformats.org/officeDocument/2006/customXml" ds:itemID="{A4F23AC9-5B7E-4AA8-9A71-74DAE97E97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48faafa4-fcb3-4fbf-87f4-79cbab9347c7</vt:lpwstr>
  </property>
</Properties>
</file>