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A04FF7A-C3C7-4663-9AE0-01ECE1FD459F}" xr6:coauthVersionLast="47" xr6:coauthVersionMax="47" xr10:uidLastSave="{A8FCB7DF-E5F4-4750-B104-2168B8067C2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4"/>
  <c r="M66" i="4"/>
  <c r="F27" i="2"/>
  <c r="M66" i="2"/>
  <c r="F27" i="5"/>
  <c r="M66" i="5"/>
  <c r="M66" i="7"/>
  <c r="F27" i="7"/>
  <c r="M66" i="6"/>
  <c r="F27"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L64" i="5"/>
  <c r="L56" i="8"/>
  <c r="E58" i="8"/>
  <c r="L64" i="8"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B64" i="8"/>
  <c r="C63" i="3"/>
  <c r="C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B70" i="5" s="1"/>
  <c r="F33" i="5" s="1"/>
  <c r="L63" i="5"/>
  <c r="F8" i="5"/>
  <c r="C70" i="3" l="1"/>
  <c r="D14" i="3" s="1"/>
  <c r="E64" i="8"/>
  <c r="L70" i="5"/>
  <c r="Q13" i="5" s="1"/>
  <c r="D70" i="5"/>
  <c r="F14" i="5" s="1"/>
  <c r="L70" i="3"/>
  <c r="Q13" i="3" s="1"/>
  <c r="B70" i="3"/>
  <c r="M70" i="3" s="1"/>
  <c r="L70" i="6"/>
  <c r="E63" i="3"/>
  <c r="C69" i="3" s="1"/>
  <c r="D12" i="3" s="1"/>
  <c r="C69" i="7"/>
  <c r="D12" i="7" s="1"/>
  <c r="D63" i="8"/>
  <c r="D70" i="8" s="1"/>
  <c r="F13" i="8" s="1"/>
  <c r="D70" i="6"/>
  <c r="F13" i="6" s="1"/>
  <c r="C63" i="8"/>
  <c r="L63" i="8"/>
  <c r="L70" i="8"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M70" i="5"/>
  <c r="D13" i="5"/>
  <c r="Q14"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3" l="1"/>
  <c r="F14" i="6"/>
  <c r="D15" i="3"/>
  <c r="O13" i="6"/>
  <c r="O14" i="5"/>
  <c r="K14" i="5" s="1"/>
  <c r="E70" i="5"/>
  <c r="F34" i="3"/>
  <c r="O13" i="5"/>
  <c r="R13" i="5" s="1"/>
  <c r="S13" i="5" s="1"/>
  <c r="U13" i="5" s="1"/>
  <c r="J13" i="5" s="1"/>
  <c r="M13" i="5" s="1"/>
  <c r="F13" i="5"/>
  <c r="D69" i="3"/>
  <c r="E69" i="3" s="1"/>
  <c r="B69" i="6"/>
  <c r="M69" i="6" s="1"/>
  <c r="F33" i="3"/>
  <c r="L69" i="3"/>
  <c r="Q12" i="3" s="1"/>
  <c r="Q13" i="8"/>
  <c r="E70" i="3"/>
  <c r="E69" i="7"/>
  <c r="Q15" i="7"/>
  <c r="D15" i="7"/>
  <c r="B69" i="3"/>
  <c r="M69" i="3" s="1"/>
  <c r="O13" i="3"/>
  <c r="K13" i="3" s="1"/>
  <c r="F14" i="3"/>
  <c r="Q12" i="7"/>
  <c r="E63" i="8"/>
  <c r="D69" i="8" s="1"/>
  <c r="F12" i="8" s="1"/>
  <c r="O12" i="7"/>
  <c r="O15" i="7"/>
  <c r="Q13" i="6"/>
  <c r="Q14" i="6"/>
  <c r="E70" i="6"/>
  <c r="O14" i="6"/>
  <c r="D14" i="6"/>
  <c r="C69" i="6"/>
  <c r="D12" i="6" s="1"/>
  <c r="F12" i="7"/>
  <c r="O14" i="3"/>
  <c r="R14" i="3" s="1"/>
  <c r="S14" i="3" s="1"/>
  <c r="U14" i="3" s="1"/>
  <c r="J14" i="3" s="1"/>
  <c r="M14" i="3" s="1"/>
  <c r="G14" i="3" s="1"/>
  <c r="I15" i="16" s="1"/>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T14" i="5"/>
  <c r="R14" i="5"/>
  <c r="S14" i="5" s="1"/>
  <c r="U14" i="5" s="1"/>
  <c r="J14" i="5" s="1"/>
  <c r="M14" i="5" s="1"/>
  <c r="K13" i="6"/>
  <c r="T13" i="5"/>
  <c r="K13" i="5"/>
  <c r="L13" i="5" s="1"/>
  <c r="Q14" i="16" s="1"/>
  <c r="F15" i="3"/>
  <c r="F12" i="3"/>
  <c r="R13" i="8"/>
  <c r="S13" i="8" s="1"/>
  <c r="F35" i="6"/>
  <c r="T13" i="3"/>
  <c r="F32" i="3"/>
  <c r="Q15" i="6"/>
  <c r="Q12" i="6"/>
  <c r="F32" i="6"/>
  <c r="R13" i="3"/>
  <c r="S13" i="3" s="1"/>
  <c r="U13" i="3" s="1"/>
  <c r="J13" i="3" s="1"/>
  <c r="M13" i="3" s="1"/>
  <c r="G13" i="3" s="1"/>
  <c r="B69" i="8"/>
  <c r="M69" i="8" s="1"/>
  <c r="L69" i="8"/>
  <c r="O15" i="8" s="1"/>
  <c r="R14" i="8"/>
  <c r="S14" i="8" s="1"/>
  <c r="O15" i="6"/>
  <c r="F15" i="8"/>
  <c r="C69" i="8"/>
  <c r="T14" i="6"/>
  <c r="Q15" i="3"/>
  <c r="O12" i="3"/>
  <c r="R12" i="3" s="1"/>
  <c r="S12" i="3" s="1"/>
  <c r="U12" i="3" s="1"/>
  <c r="J12" i="3" s="1"/>
  <c r="F35" i="3"/>
  <c r="O15" i="3"/>
  <c r="R15" i="7"/>
  <c r="S15" i="7" s="1"/>
  <c r="U15" i="7" s="1"/>
  <c r="J15" i="7" s="1"/>
  <c r="M15" i="7" s="1"/>
  <c r="K14" i="3"/>
  <c r="L14" i="3" s="1"/>
  <c r="P15" i="16" s="1"/>
  <c r="K14" i="6"/>
  <c r="R14" i="6"/>
  <c r="S14" i="6" s="1"/>
  <c r="U14" i="6" s="1"/>
  <c r="J14" i="6" s="1"/>
  <c r="M14" i="6" s="1"/>
  <c r="G14" i="6" s="1"/>
  <c r="M15" i="13" s="1"/>
  <c r="R12" i="7"/>
  <c r="S12" i="7" s="1"/>
  <c r="T13" i="6"/>
  <c r="T12" i="7"/>
  <c r="T14" i="3"/>
  <c r="K12" i="7"/>
  <c r="R13" i="6"/>
  <c r="S13" i="6" s="1"/>
  <c r="U13" i="6" s="1"/>
  <c r="J13" i="6" s="1"/>
  <c r="M13" i="6" s="1"/>
  <c r="G13" i="6" s="1"/>
  <c r="M14" i="13" s="1"/>
  <c r="U10" i="4"/>
  <c r="J10" i="4" s="1"/>
  <c r="M10" i="4" s="1"/>
  <c r="G10" i="4" s="1"/>
  <c r="G11" i="16" s="1"/>
  <c r="K15" i="7"/>
  <c r="T15" i="7"/>
  <c r="O12" i="6"/>
  <c r="T13" i="8"/>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K13" i="7"/>
  <c r="T8" i="2"/>
  <c r="U8" i="2" s="1"/>
  <c r="J8" i="2" s="1"/>
  <c r="M11" i="4"/>
  <c r="G11" i="4" s="1"/>
  <c r="T14" i="7"/>
  <c r="U14" i="7" s="1"/>
  <c r="J14" i="7" s="1"/>
  <c r="K14" i="7"/>
  <c r="N30" i="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5" l="1"/>
  <c r="L14" i="5"/>
  <c r="Q15" i="16" s="1"/>
  <c r="U13" i="8"/>
  <c r="J13" i="8" s="1"/>
  <c r="M13" i="8" s="1"/>
  <c r="U12" i="7"/>
  <c r="J12" i="7" s="1"/>
  <c r="M12" i="7" s="1"/>
  <c r="O12" i="8"/>
  <c r="K15" i="6"/>
  <c r="L13" i="3"/>
  <c r="P14" i="16" s="1"/>
  <c r="K12" i="3"/>
  <c r="L12" i="3" s="1"/>
  <c r="P13" i="16" s="1"/>
  <c r="T12" i="3"/>
  <c r="K12" i="6"/>
  <c r="F35" i="8"/>
  <c r="F32" i="8"/>
  <c r="U14" i="8"/>
  <c r="J14" i="8" s="1"/>
  <c r="N30" i="8" s="1"/>
  <c r="Q12" i="8"/>
  <c r="K15" i="3"/>
  <c r="T15" i="6"/>
  <c r="R15" i="6"/>
  <c r="S15" i="6" s="1"/>
  <c r="U15" i="6" s="1"/>
  <c r="J15" i="6" s="1"/>
  <c r="Q15" i="8"/>
  <c r="R15" i="8" s="1"/>
  <c r="S15" i="8" s="1"/>
  <c r="D12" i="8"/>
  <c r="G13" i="8"/>
  <c r="Q14" i="13" s="1"/>
  <c r="E69" i="8"/>
  <c r="D15" i="8"/>
  <c r="L15" i="7"/>
  <c r="S16" i="16" s="1"/>
  <c r="R15" i="3"/>
  <c r="S15" i="3" s="1"/>
  <c r="U15" i="3" s="1"/>
  <c r="J15" i="3" s="1"/>
  <c r="M15" i="3" s="1"/>
  <c r="G15" i="3" s="1"/>
  <c r="I16" i="16" s="1"/>
  <c r="L10" i="4"/>
  <c r="O11" i="16" s="1"/>
  <c r="D10" i="9"/>
  <c r="T15" i="3"/>
  <c r="T12" i="6"/>
  <c r="G13" i="9"/>
  <c r="L13" i="8"/>
  <c r="T14" i="16" s="1"/>
  <c r="L13" i="6"/>
  <c r="R14" i="16" s="1"/>
  <c r="R12" i="6"/>
  <c r="S12" i="6" s="1"/>
  <c r="U12" i="6" s="1"/>
  <c r="J12" i="6" s="1"/>
  <c r="M12" i="6" s="1"/>
  <c r="G12" i="6" s="1"/>
  <c r="G11" i="13"/>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N14" i="9"/>
  <c r="L13" i="7"/>
  <c r="S14" i="16" s="1"/>
  <c r="M9" i="3"/>
  <c r="G9" i="3" s="1"/>
  <c r="I10" i="13" s="1"/>
  <c r="I14" i="13"/>
  <c r="I14" i="16"/>
  <c r="G12" i="13"/>
  <c r="G12" i="16"/>
  <c r="N9" i="9"/>
  <c r="P10" i="16"/>
  <c r="M14" i="7"/>
  <c r="N30" i="7"/>
  <c r="L14" i="7"/>
  <c r="S15" i="16" s="1"/>
  <c r="L8" i="7"/>
  <c r="S9" i="16" s="1"/>
  <c r="O13" i="9"/>
  <c r="M9" i="9"/>
  <c r="O14" i="9"/>
  <c r="V10" i="13"/>
  <c r="V15"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N13" i="9" l="1"/>
  <c r="V14" i="13"/>
  <c r="L12" i="7"/>
  <c r="S13" i="16" s="1"/>
  <c r="U11" i="7"/>
  <c r="J11" i="7" s="1"/>
  <c r="L11" i="7" s="1"/>
  <c r="S12" i="16" s="1"/>
  <c r="K12" i="8"/>
  <c r="L15" i="6"/>
  <c r="R16" i="16" s="1"/>
  <c r="M15" i="6"/>
  <c r="G15" i="6" s="1"/>
  <c r="G15" i="9" s="1"/>
  <c r="M14" i="8"/>
  <c r="G14" i="8" s="1"/>
  <c r="K15" i="16" s="1"/>
  <c r="L14" i="8"/>
  <c r="T15" i="16" s="1"/>
  <c r="Q15" i="9"/>
  <c r="T12" i="8"/>
  <c r="R12" i="8"/>
  <c r="S12" i="8" s="1"/>
  <c r="L15" i="3"/>
  <c r="P16" i="16" s="1"/>
  <c r="Y13" i="13"/>
  <c r="T15" i="8"/>
  <c r="U15" i="8" s="1"/>
  <c r="J15" i="8" s="1"/>
  <c r="M15" i="8" s="1"/>
  <c r="G15" i="8" s="1"/>
  <c r="K16" i="16" s="1"/>
  <c r="K15" i="8"/>
  <c r="Y16" i="13"/>
  <c r="U11" i="13"/>
  <c r="M10" i="9"/>
  <c r="E15" i="9"/>
  <c r="K14" i="16"/>
  <c r="I13" i="9"/>
  <c r="I16" i="13"/>
  <c r="U14" i="2"/>
  <c r="J14" i="2" s="1"/>
  <c r="M14" i="2" s="1"/>
  <c r="G14" i="2" s="1"/>
  <c r="E15" i="16" s="1"/>
  <c r="R13" i="9"/>
  <c r="Z14" i="13"/>
  <c r="P13" i="9"/>
  <c r="U13" i="2"/>
  <c r="J13" i="2" s="1"/>
  <c r="M13" i="2" s="1"/>
  <c r="G13" i="2" s="1"/>
  <c r="E14" i="16" s="1"/>
  <c r="L12" i="6"/>
  <c r="R13" i="16" s="1"/>
  <c r="X14" i="13"/>
  <c r="U10" i="7"/>
  <c r="J10" i="7" s="1"/>
  <c r="L10" i="7" s="1"/>
  <c r="S11" i="16" s="1"/>
  <c r="L8" i="6"/>
  <c r="R9" i="16" s="1"/>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M11" i="7" l="1"/>
  <c r="L15" i="8"/>
  <c r="T16" i="16" s="1"/>
  <c r="M16" i="13"/>
  <c r="X16" i="13"/>
  <c r="Q12" i="9"/>
  <c r="R14" i="9"/>
  <c r="P15" i="9"/>
  <c r="U12" i="8"/>
  <c r="J12" i="8" s="1"/>
  <c r="M12" i="8" s="1"/>
  <c r="G12" i="8" s="1"/>
  <c r="K13" i="16" s="1"/>
  <c r="Z15" i="13"/>
  <c r="N15" i="9"/>
  <c r="Q15" i="13"/>
  <c r="I14" i="9"/>
  <c r="V16" i="13"/>
  <c r="X13" i="13"/>
  <c r="M10" i="7"/>
  <c r="L14" i="2"/>
  <c r="N15" i="16" s="1"/>
  <c r="N30" i="2"/>
  <c r="E15" i="13"/>
  <c r="C14" i="9"/>
  <c r="C13" i="9"/>
  <c r="E14" i="13"/>
  <c r="L13" i="2"/>
  <c r="N14" i="16" s="1"/>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Q13" i="13"/>
  <c r="L12" i="8"/>
  <c r="T13" i="16" s="1"/>
  <c r="T15" i="13"/>
  <c r="L14" i="9"/>
  <c r="L13" i="9"/>
  <c r="T14"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<sst xmlns="http://schemas.openxmlformats.org/spreadsheetml/2006/main" count="654" uniqueCount="141">
  <si>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</si>
  <si>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</si>
  <si>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</si>
  <si>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</si>
  <si>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</si>
  <si>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</si>
  <si>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</si>
  <si>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</si>
  <si>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</si>
  <si>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</si>
  <si>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</si>
  <si>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</si>
  <si>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</si>
  <si>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</si>
  <si>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</si>
  <si>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</si>
  <si>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</si>
  <si>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</si>
  <si>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</si>
  <si>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</si>
  <si>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</si>
  <si>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</si>
  <si>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</si>
  <si>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</si>
  <si>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</si>
  <si>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</si>
  <si>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</si>
  <si>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</si>
  <si>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</si>
  <si>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</si>
  <si>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</si>
  <si>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</si>
  <si>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</si>
  <si>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</si>
  <si>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</si>
  <si>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</si>
  <si>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</si>
  <si>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</si>
  <si>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</si>
  <si>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</si>
  <si>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</si>
  <si>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</si>
  <si>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</si>
  <si>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</si>
  <si>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</si>
  <si>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</si>
  <si>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</si>
  <si>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</si>
  <si>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</si>
  <si>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</si>
  <si>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</si>
  <si>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</si>
  <si>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</si>
  <si>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</si>
  <si>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</si>
  <si>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</si>
  <si>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</si>
  <si>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</si>
  <si>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</si>
  <si>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</si>
  <si>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</si>
  <si>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</si>
  <si>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</si>
  <si>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</si>
  <si>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</si>
  <si>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</si>
  <si>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</si>
  <si>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</si>
  <si>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</si>
  <si>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</si>
  <si>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</si>
  <si>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</si>
  <si>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</si>
  <si>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</si>
  <si>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</si>
  <si>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</si>
  <si>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</si>
  <si>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</si>
  <si>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</si>
  <si>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</si>
  <si>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</si>
  <si>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</si>
  <si>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</si>
  <si>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</si>
  <si>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</si>
  <si>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</si>
  <si>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</si>
  <si>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</si>
  <si>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</si>
  <si>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</si>
  <si>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</si>
  <si>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</si>
  <si>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</si>
  <si>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</si>
  <si>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</si>
  <si>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</si>
  <si>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</si>
  <si>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</si>
  <si>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</si>
  <si>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</si>
  <si>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</si>
  <si>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</si>
  <si>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</si>
  <si>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</si>
  <si>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</si>
  <si>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</si>
  <si>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</si>
  <si>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</si>
  <si>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</si>
  <si>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</si>
  <si>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</si>
  <si>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</si>
  <si>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</si>
  <si>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</si>
  <si>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</si>
  <si>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</si>
  <si>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</si>
  <si>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</si>
  <si>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</si>
  <si>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</si>
  <si>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</si>
  <si>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</si>
  <si>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</si>
  <si>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</si>
  <si>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</si>
  <si>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</si>
  <si>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</si>
  <si>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</si>
  <si>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</si>
  <si>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</si>
  <si>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</si>
  <si>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</si>
  <si>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</si>
  <si>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</si>
  <si>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</si>
  <si>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</si>
  <si>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Cass</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</si>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</sst>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Cass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N=34</c:v>
                </c:pt>
                <c:pt idx="3">
                  <c:v>Petitions, total N=43</c:v>
                </c:pt>
                <c:pt idx="4">
                  <c:v>Detentions, total N=0</c:v>
                </c:pt>
                <c:pt idx="5">
                  <c:v>Referrals, total N=88</c:v>
                </c:pt>
                <c:pt idx="6">
                  <c:v>Arrests, total N=0</c:v>
                </c:pt>
                <c:pt idx="7">
                  <c:v>Population, total N=5122</c:v>
                </c:pt>
              </c:strCache>
            </c:strRef>
          </c:cat>
          <c:val>
            <c:numRef>
              <c:f>'Stacked 100%'!$B$7:$B$14</c:f>
              <c:numCache>
                <c:formatCode>0%</c:formatCode>
                <c:ptCount val="8"/>
                <c:pt idx="0">
                  <c:v>1</c:v>
                </c:pt>
                <c:pt idx="1">
                  <c:v>0</c:v>
                </c:pt>
                <c:pt idx="2">
                  <c:v>0.23529411764705882</c:v>
                </c:pt>
                <c:pt idx="3">
                  <c:v>0.30232558139534882</c:v>
                </c:pt>
                <c:pt idx="4">
                  <c:v>0</c:v>
                </c:pt>
                <c:pt idx="5">
                  <c:v>0.25</c:v>
                </c:pt>
                <c:pt idx="6">
                  <c:v>0</c:v>
                </c:pt>
                <c:pt idx="7">
                  <c:v>8.2975400234283486E-2</c:v>
                </c:pt>
              </c:numCache>
            </c:numRef>
          </c:val>
          <c:extLst>
            <c:ext xmlns:c16="http://schemas.microsoft.com/office/drawing/2014/chart" uri="{C3380CC4-5D6E-409C-BE32-E72D297353CC}">
              <c16:uniqueId val="{00000000-EA84-44F9-B7B1-51184775CB7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N=34</c:v>
                </c:pt>
                <c:pt idx="3">
                  <c:v>Petitions, total N=43</c:v>
                </c:pt>
                <c:pt idx="4">
                  <c:v>Detentions, total N=0</c:v>
                </c:pt>
                <c:pt idx="5">
                  <c:v>Referrals, total N=88</c:v>
                </c:pt>
                <c:pt idx="6">
                  <c:v>Arrests, total N=0</c:v>
                </c:pt>
                <c:pt idx="7">
                  <c:v>Population, total N=5122</c:v>
                </c:pt>
              </c:strCache>
            </c:strRef>
          </c:cat>
          <c:val>
            <c:numRef>
              <c:f>'Stacked 100%'!$C$7:$C$14</c:f>
              <c:numCache>
                <c:formatCode>0%</c:formatCode>
                <c:ptCount val="8"/>
                <c:pt idx="0">
                  <c:v>0</c:v>
                </c:pt>
                <c:pt idx="1">
                  <c:v>0</c:v>
                </c:pt>
                <c:pt idx="2">
                  <c:v>0.11764705882352941</c:v>
                </c:pt>
                <c:pt idx="3">
                  <c:v>0.11627906976744186</c:v>
                </c:pt>
                <c:pt idx="4">
                  <c:v>0</c:v>
                </c:pt>
                <c:pt idx="5">
                  <c:v>6.8181818181818177E-2</c:v>
                </c:pt>
                <c:pt idx="6">
                  <c:v>0</c:v>
                </c:pt>
                <c:pt idx="7">
                  <c:v>8.1608746583365879E-2</c:v>
                </c:pt>
              </c:numCache>
            </c:numRef>
          </c:val>
          <c:extLst>
            <c:ext xmlns:c16="http://schemas.microsoft.com/office/drawing/2014/chart" uri="{C3380CC4-5D6E-409C-BE32-E72D297353CC}">
              <c16:uniqueId val="{00000001-EA84-44F9-B7B1-51184775CB7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N=0</c:v>
                </c:pt>
                <c:pt idx="2">
                  <c:v>Delinquent Findings, total N=34</c:v>
                </c:pt>
                <c:pt idx="3">
                  <c:v>Petitions, total N=43</c:v>
                </c:pt>
                <c:pt idx="4">
                  <c:v>Detentions, total N=0</c:v>
                </c:pt>
                <c:pt idx="5">
                  <c:v>Referrals, total N=88</c:v>
                </c:pt>
                <c:pt idx="6">
                  <c:v>Arrests, total N=0</c:v>
                </c:pt>
                <c:pt idx="7">
                  <c:v>Population, total N=5122</c:v>
                </c:pt>
              </c:strCache>
            </c:strRef>
          </c:cat>
          <c:val>
            <c:numRef>
              <c:f>'Stacked 100%'!$H$7:$H$14</c:f>
              <c:numCache>
                <c:formatCode>0%</c:formatCode>
                <c:ptCount val="8"/>
                <c:pt idx="0">
                  <c:v>0</c:v>
                </c:pt>
                <c:pt idx="1">
                  <c:v>0</c:v>
                </c:pt>
                <c:pt idx="2">
                  <c:v>8.6505190311418688E-4</c:v>
                </c:pt>
                <c:pt idx="3">
                  <c:v>5.4083288263926451E-4</c:v>
                </c:pt>
                <c:pt idx="4">
                  <c:v>0</c:v>
                </c:pt>
                <c:pt idx="5">
                  <c:v>1.2913223140495868E-4</c:v>
                </c:pt>
                <c:pt idx="6">
                  <c:v>0</c:v>
                </c:pt>
                <c:pt idx="7">
                  <c:v>4.4215937833001285E-6</c:v>
                </c:pt>
              </c:numCache>
            </c:numRef>
          </c:val>
          <c:extLst>
            <c:ext xmlns:c16="http://schemas.microsoft.com/office/drawing/2014/chart" uri="{C3380CC4-5D6E-409C-BE32-E72D297353CC}">
              <c16:uniqueId val="{00000002-EA84-44F9-B7B1-51184775CB7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N=34</c:v>
                </c:pt>
                <c:pt idx="3">
                  <c:v>Petitions, total N=43</c:v>
                </c:pt>
                <c:pt idx="4">
                  <c:v>Detentions, total N=0</c:v>
                </c:pt>
                <c:pt idx="5">
                  <c:v>Referrals, total N=88</c:v>
                </c:pt>
                <c:pt idx="6">
                  <c:v>Arrests, total N=0</c:v>
                </c:pt>
                <c:pt idx="7">
                  <c:v>Population, total N=5122</c:v>
                </c:pt>
              </c:strCache>
            </c:strRef>
          </c:cat>
          <c:val>
            <c:numRef>
              <c:f>'Stacked 100%'!$I$7:$I$14</c:f>
              <c:numCache>
                <c:formatCode>0%</c:formatCode>
                <c:ptCount val="8"/>
                <c:pt idx="0">
                  <c:v>0</c:v>
                </c:pt>
                <c:pt idx="1">
                  <c:v>0</c:v>
                </c:pt>
                <c:pt idx="2">
                  <c:v>0.61764705882352944</c:v>
                </c:pt>
                <c:pt idx="3">
                  <c:v>0.55813953488372092</c:v>
                </c:pt>
                <c:pt idx="4">
                  <c:v>0</c:v>
                </c:pt>
                <c:pt idx="5">
                  <c:v>0.67045454545454541</c:v>
                </c:pt>
                <c:pt idx="6">
                  <c:v>0</c:v>
                </c:pt>
                <c:pt idx="7">
                  <c:v>0.81276844982428742</c:v>
                </c:pt>
              </c:numCache>
            </c:numRef>
          </c:val>
          <c:extLst>
            <c:ext xmlns:c16="http://schemas.microsoft.com/office/drawing/2014/chart" uri="{C3380CC4-5D6E-409C-BE32-E72D297353CC}">
              <c16:uniqueId val="{00000003-EA84-44F9-B7B1-51184775CB7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N=0</c:v>
                </c:pt>
                <c:pt idx="2">
                  <c:v>Delinquent Findings, total N=34</c:v>
                </c:pt>
                <c:pt idx="3">
                  <c:v>Petitions, total N=43</c:v>
                </c:pt>
                <c:pt idx="4">
                  <c:v>Detentions, total N=0</c:v>
                </c:pt>
                <c:pt idx="5">
                  <c:v>Referrals, total N=88</c:v>
                </c:pt>
                <c:pt idx="6">
                  <c:v>Arrests, total N=0</c:v>
                </c:pt>
                <c:pt idx="7">
                  <c:v>Population, total N=5122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A84-44F9-B7B1-51184775CB7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L13" sqref="L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5122</v>
      </c>
      <c r="C6" s="11">
        <v>4163</v>
      </c>
      <c r="D6" s="11">
        <v>425</v>
      </c>
      <c r="E6" s="11">
        <v>418</v>
      </c>
      <c r="F6" s="11">
        <v>48</v>
      </c>
      <c r="G6" s="11"/>
      <c r="H6" s="11">
        <v>68</v>
      </c>
      <c r="I6" s="11"/>
      <c r="J6" s="91">
        <f>SUM(D6:I6)</f>
        <v>959</v>
      </c>
      <c r="K6" s="92"/>
    </row>
    <row r="7" spans="1:11" ht="15.75" customHeight="1" thickBot="1">
      <c r="A7" s="10" t="s">
        <v>8</v>
      </c>
      <c r="B7" s="11">
        <f t="shared" ref="B7:B15" si="0">SUM(C7:I7)+K7</f>
        <v>0</v>
      </c>
      <c r="C7" s="11">
        <v>0</v>
      </c>
      <c r="D7" s="11">
        <v>0</v>
      </c>
      <c r="E7" s="11">
        <v>0</v>
      </c>
      <c r="F7" s="11">
        <v>0</v>
      </c>
      <c r="G7" s="11">
        <v>0</v>
      </c>
      <c r="H7" s="11">
        <v>0</v>
      </c>
      <c r="I7" s="11"/>
      <c r="J7" s="91">
        <f t="shared" ref="J7:J15" si="1">SUM(D7:I7)</f>
        <v>0</v>
      </c>
      <c r="K7" s="92">
        <v>0</v>
      </c>
    </row>
    <row r="8" spans="1:11" ht="15.75" customHeight="1" thickBot="1">
      <c r="A8" s="10" t="s">
        <v>9</v>
      </c>
      <c r="B8" s="11">
        <f t="shared" si="0"/>
        <v>88</v>
      </c>
      <c r="C8" s="11">
        <v>59</v>
      </c>
      <c r="D8" s="11">
        <v>22</v>
      </c>
      <c r="E8" s="11">
        <v>6</v>
      </c>
      <c r="F8" s="11"/>
      <c r="G8" s="11"/>
      <c r="H8" s="11"/>
      <c r="I8" s="11">
        <v>1</v>
      </c>
      <c r="J8" s="91">
        <f t="shared" si="1"/>
        <v>29</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43</v>
      </c>
      <c r="C11" s="11">
        <v>24</v>
      </c>
      <c r="D11" s="11">
        <v>13</v>
      </c>
      <c r="E11" s="11">
        <v>5</v>
      </c>
      <c r="F11" s="11"/>
      <c r="G11" s="11"/>
      <c r="H11" s="11"/>
      <c r="I11" s="11">
        <v>1</v>
      </c>
      <c r="J11" s="91">
        <f t="shared" si="1"/>
        <v>19</v>
      </c>
      <c r="K11" s="92"/>
    </row>
    <row r="12" spans="1:11" ht="15.75" customHeight="1" thickBot="1">
      <c r="A12" s="10" t="s">
        <v>13</v>
      </c>
      <c r="B12" s="11">
        <f t="shared" si="0"/>
        <v>34</v>
      </c>
      <c r="C12" s="11">
        <v>21</v>
      </c>
      <c r="D12" s="11">
        <v>8</v>
      </c>
      <c r="E12" s="11">
        <v>4</v>
      </c>
      <c r="F12" s="11"/>
      <c r="G12" s="11"/>
      <c r="H12" s="11"/>
      <c r="I12" s="11">
        <v>1</v>
      </c>
      <c r="J12" s="91">
        <f t="shared" si="1"/>
        <v>13</v>
      </c>
      <c r="K12" s="92"/>
    </row>
    <row r="13" spans="1:11" ht="15.75" customHeight="1" thickBot="1">
      <c r="A13" s="10" t="s">
        <v>133</v>
      </c>
      <c r="B13" s="11">
        <f t="shared" si="0"/>
        <v>56</v>
      </c>
      <c r="C13" s="11">
        <v>38</v>
      </c>
      <c r="D13" s="11">
        <v>11</v>
      </c>
      <c r="E13" s="11">
        <v>6</v>
      </c>
      <c r="F13" s="11"/>
      <c r="G13" s="11"/>
      <c r="H13" s="11"/>
      <c r="I13" s="11">
        <v>1</v>
      </c>
      <c r="J13" s="91">
        <f t="shared" si="1"/>
        <v>18</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1</v>
      </c>
      <c r="C15" s="11"/>
      <c r="D15" s="11">
        <v>1</v>
      </c>
      <c r="E15" s="11"/>
      <c r="F15" s="11"/>
      <c r="G15" s="11"/>
      <c r="H15" s="11"/>
      <c r="I15" s="11"/>
      <c r="J15" s="91">
        <f t="shared" si="1"/>
        <v>1</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4163</v>
      </c>
      <c r="R7" s="42">
        <f t="shared" ref="R7:R15" si="5">SUM(N7:Q7)</f>
        <v>4163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59</v>
      </c>
      <c r="D8" s="34">
        <f>IF((AND(C67&gt;0,C8&gt;0)),(C8/C67),0)</f>
        <v>14.172471775162142</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59</v>
      </c>
      <c r="Q8" s="42">
        <f>(C$67*L67)-C8</f>
        <v>4104</v>
      </c>
      <c r="R8" s="42">
        <f t="shared" si="5"/>
        <v>4163.05</v>
      </c>
      <c r="S8" s="30">
        <f t="shared" si="6"/>
        <v>72045809919.207626</v>
      </c>
      <c r="T8" s="30">
        <f t="shared" si="7"/>
        <v>51242991.450000048</v>
      </c>
      <c r="U8" s="31">
        <f t="shared" si="8"/>
        <v>1405.9641695490352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59</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59</v>
      </c>
      <c r="R10" s="42">
        <f t="shared" si="5"/>
        <v>60</v>
      </c>
      <c r="S10" s="30">
        <f t="shared" si="6"/>
        <v>0</v>
      </c>
      <c r="T10" s="30">
        <f t="shared" si="7"/>
        <v>0</v>
      </c>
      <c r="U10" s="31" t="str">
        <f t="shared" si="8"/>
        <v>- -</v>
      </c>
    </row>
    <row r="11" spans="2:21" ht="18" customHeight="1">
      <c r="B11" s="32" t="str">
        <f>'Data Entry'!A11</f>
        <v>6. Cases Petitioned (Charge Filed)</v>
      </c>
      <c r="C11" s="33">
        <f>'Data Entry'!C11</f>
        <v>24</v>
      </c>
      <c r="D11" s="34">
        <f>IF(((AND(C68&gt;0,C11&gt;0))),(C11/(C68)),0)</f>
        <v>40.677966101694921</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24</v>
      </c>
      <c r="Q11" s="42">
        <f>(C$68*L68)-C11</f>
        <v>35</v>
      </c>
      <c r="R11" s="42">
        <f t="shared" si="5"/>
        <v>60</v>
      </c>
      <c r="S11" s="30">
        <f t="shared" si="6"/>
        <v>73500</v>
      </c>
      <c r="T11" s="30">
        <f t="shared" si="7"/>
        <v>51625</v>
      </c>
      <c r="U11" s="31">
        <f t="shared" si="8"/>
        <v>1.423728813559322</v>
      </c>
    </row>
    <row r="12" spans="2:21" ht="18" customHeight="1">
      <c r="B12" s="32" t="str">
        <f>'Data Entry'!A12</f>
        <v>7. Cases Resulting in Delinquent Findings</v>
      </c>
      <c r="C12" s="33">
        <f>'Data Entry'!C12</f>
        <v>21</v>
      </c>
      <c r="D12" s="34">
        <f>IF(((AND(C69&gt;0,C12&gt;0))),(C12/(C69)),0)</f>
        <v>87.5</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21</v>
      </c>
      <c r="Q12" s="42">
        <f>(C69*L69)-C12</f>
        <v>3</v>
      </c>
      <c r="R12" s="42">
        <f t="shared" si="5"/>
        <v>25</v>
      </c>
      <c r="S12" s="30">
        <f t="shared" si="6"/>
        <v>225</v>
      </c>
      <c r="T12" s="30">
        <f t="shared" si="7"/>
        <v>1584</v>
      </c>
      <c r="U12" s="31">
        <f t="shared" si="8"/>
        <v>0.14204545454545456</v>
      </c>
    </row>
    <row r="13" spans="2:21" ht="18" customHeight="1">
      <c r="B13" s="32" t="str">
        <f>'Data Entry'!A13</f>
        <v>8. Cases Resulting in Probation Placement</v>
      </c>
      <c r="C13" s="33">
        <f>'Data Entry'!C13</f>
        <v>38</v>
      </c>
      <c r="D13" s="34">
        <f>IF(((AND(C70&gt;0,C13&gt;0))),(C13/(C70)),0)</f>
        <v>180.95238095238096</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38</v>
      </c>
      <c r="Q13" s="42">
        <f>(C70*L70)-C13</f>
        <v>-17</v>
      </c>
      <c r="R13" s="42">
        <f t="shared" si="5"/>
        <v>22</v>
      </c>
      <c r="S13" s="30">
        <f t="shared" si="6"/>
        <v>6358</v>
      </c>
      <c r="T13" s="30">
        <f t="shared" si="7"/>
        <v>-13923</v>
      </c>
      <c r="U13" s="31">
        <f t="shared" si="8"/>
        <v>-0.45665445665445664</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21</v>
      </c>
      <c r="R14" s="42">
        <f t="shared" si="5"/>
        <v>22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24</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0</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0.01</v>
      </c>
      <c r="E44" s="56">
        <f>MAX(C44:D44,0)</f>
        <v>0.59</v>
      </c>
      <c r="G44" s="1" t="str">
        <f>B44</f>
        <v>per 100 referrals</v>
      </c>
      <c r="L44" s="57">
        <v>100</v>
      </c>
      <c r="M44" s="57"/>
      <c r="R44" s="49"/>
    </row>
    <row r="45" spans="2:18" ht="15" hidden="1" customHeight="1">
      <c r="B45" s="49" t="s">
        <v>89</v>
      </c>
      <c r="C45" s="49">
        <f>C11/100</f>
        <v>0.24</v>
      </c>
      <c r="D45" s="49">
        <f>E11/100</f>
        <v>0.01</v>
      </c>
      <c r="E45" s="56">
        <f>MAX(C45:D45,0)</f>
        <v>0.24</v>
      </c>
      <c r="G45" s="1" t="str">
        <f>B45</f>
        <v>per 100 youth petitioned</v>
      </c>
      <c r="L45" s="57">
        <v>100</v>
      </c>
      <c r="M45" s="57"/>
      <c r="R45" s="49"/>
    </row>
    <row r="46" spans="2:18" ht="15" hidden="1" customHeight="1">
      <c r="B46" s="49" t="s">
        <v>90</v>
      </c>
      <c r="C46" s="49">
        <f>C12/100</f>
        <v>0.21</v>
      </c>
      <c r="D46" s="49">
        <f>E12/100</f>
        <v>0.01</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0</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4.1630000000000003</v>
      </c>
      <c r="D49" s="49">
        <f t="shared" si="9"/>
        <v>0</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0.01</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0.01</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0.01</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0</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0</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0.01</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0.01</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0.01</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0</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0</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0.01</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0.01</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0.01</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0</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0</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0.01</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0.01</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0.01</v>
      </c>
      <c r="E70" s="56">
        <f>MAX(C70:D70)</f>
        <v>0.21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Entry'!J6</f>
        <v>959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959</v>
      </c>
      <c r="P7" s="42">
        <f t="shared" ref="P7:P15" si="4">C7</f>
        <v>0</v>
      </c>
      <c r="Q7" s="42">
        <f>C6-C7</f>
        <v>4163</v>
      </c>
      <c r="R7" s="42">
        <f t="shared" ref="R7:R15" si="5">SUM(N7:Q7)</f>
        <v>5122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59</v>
      </c>
      <c r="D8" s="34">
        <f>IF((AND(C67&gt;0,C8&gt;0)),(C8/C67),0)</f>
        <v>14.172471775162142</v>
      </c>
      <c r="E8" s="33">
        <f>'Data Entry'!J8</f>
        <v>29</v>
      </c>
      <c r="F8" s="34">
        <f>IF((AND($E$8&gt;0,$D$67&gt;0)),($E8/$D67),0)</f>
        <v>30.239833159541188</v>
      </c>
      <c r="G8" s="39">
        <f t="shared" si="0"/>
        <v>2.1337021261554234</v>
      </c>
      <c r="H8" s="40"/>
      <c r="I8" s="41"/>
      <c r="J8" s="40">
        <f>IF((ABS($U8)&gt;Defaults!D$7),1,2)</f>
        <v>1</v>
      </c>
      <c r="K8" s="39">
        <f>IF((AND(N8&gt;Defaults!B$12,(N8+O8)&gt;Defaults!B$13, P8 &gt; Defaults!B$12, (P8+Q8) &gt; Defaults!B$13)),1,20)</f>
        <v>1</v>
      </c>
      <c r="L8" s="1">
        <f t="shared" si="1"/>
        <v>1</v>
      </c>
      <c r="M8" s="1" t="b">
        <f t="shared" si="2"/>
        <v>1</v>
      </c>
      <c r="N8" s="42">
        <f t="shared" si="3"/>
        <v>29</v>
      </c>
      <c r="O8" s="42">
        <f>((D67*L67)-E8)+0.05</f>
        <v>930.05</v>
      </c>
      <c r="P8" s="42">
        <f t="shared" si="4"/>
        <v>59</v>
      </c>
      <c r="Q8" s="42">
        <f>(C$67*L67)-C8</f>
        <v>4104</v>
      </c>
      <c r="R8" s="42">
        <f t="shared" si="5"/>
        <v>5122.05</v>
      </c>
      <c r="S8" s="30">
        <f t="shared" si="6"/>
        <v>21073808398378.57</v>
      </c>
      <c r="T8" s="30">
        <f t="shared" si="7"/>
        <v>1768674268359.46</v>
      </c>
      <c r="U8" s="31">
        <f t="shared" si="8"/>
        <v>11.915030808881307</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28.999999999999996</v>
      </c>
      <c r="P9" s="42">
        <f t="shared" si="4"/>
        <v>0</v>
      </c>
      <c r="Q9" s="42">
        <f>(C$68*L68)-C9</f>
        <v>59</v>
      </c>
      <c r="R9" s="42">
        <f t="shared" si="5"/>
        <v>88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28.999999999999996</v>
      </c>
      <c r="P10" s="42">
        <f t="shared" si="4"/>
        <v>0</v>
      </c>
      <c r="Q10" s="42">
        <f>(C$68*L68)-C10</f>
        <v>59</v>
      </c>
      <c r="R10" s="42">
        <f t="shared" si="5"/>
        <v>88</v>
      </c>
      <c r="S10" s="30">
        <f t="shared" si="6"/>
        <v>0</v>
      </c>
      <c r="T10" s="30">
        <f t="shared" si="7"/>
        <v>0</v>
      </c>
      <c r="U10" s="31" t="str">
        <f t="shared" si="8"/>
        <v>- -</v>
      </c>
    </row>
    <row r="11" spans="2:21" ht="18" customHeight="1">
      <c r="B11" s="32" t="str">
        <f>'Data Entry'!A11</f>
        <v>6. Cases Petitioned (Charge Filed)</v>
      </c>
      <c r="C11" s="33">
        <f>'Data Entry'!C11</f>
        <v>24</v>
      </c>
      <c r="D11" s="34">
        <f>IF(((AND(C68&gt;0,C11&gt;0))),(C11/(C68)),0)</f>
        <v>40.677966101694921</v>
      </c>
      <c r="E11" s="33">
        <f>'Data Entry'!J11</f>
        <v>19</v>
      </c>
      <c r="F11" s="34">
        <f>IF(((AND($E$11&gt;0,$D$68&gt;0))),($E$11/($D$68)),0)</f>
        <v>65.517241379310349</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19</v>
      </c>
      <c r="O11" s="42">
        <f>(D$68*L68)-E11</f>
        <v>9.9999999999999964</v>
      </c>
      <c r="P11" s="42">
        <f t="shared" si="4"/>
        <v>24</v>
      </c>
      <c r="Q11" s="42">
        <f>(C$68*L68)-C11</f>
        <v>35</v>
      </c>
      <c r="R11" s="42">
        <f t="shared" si="5"/>
        <v>88</v>
      </c>
      <c r="S11" s="30">
        <f t="shared" si="6"/>
        <v>15895000.000000007</v>
      </c>
      <c r="T11" s="30">
        <f t="shared" si="7"/>
        <v>3310784.9999999995</v>
      </c>
      <c r="U11" s="31">
        <f t="shared" si="8"/>
        <v>4.8009762035287729</v>
      </c>
    </row>
    <row r="12" spans="2:21" ht="18" customHeight="1">
      <c r="B12" s="32" t="str">
        <f>'Data Entry'!A12</f>
        <v>7. Cases Resulting in Delinquent Findings</v>
      </c>
      <c r="C12" s="33">
        <f>'Data Entry'!C12</f>
        <v>21</v>
      </c>
      <c r="D12" s="34">
        <f>IF(((AND(C69&gt;0,C12&gt;0))),(C12/(C69)),0)</f>
        <v>87.5</v>
      </c>
      <c r="E12" s="33">
        <f>'Data Entry'!J12</f>
        <v>13</v>
      </c>
      <c r="F12" s="34">
        <f>IF(((AND($D$69&gt;0,$E$12&gt;0))),(E12/(D69)),0)</f>
        <v>68.421052631578945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13</v>
      </c>
      <c r="O12" s="42">
        <f>(D69*L69)-E12</f>
        <v>6</v>
      </c>
      <c r="P12" s="42">
        <f t="shared" si="4"/>
        <v>21</v>
      </c>
      <c r="Q12" s="42">
        <f>(C69*L69)-C12</f>
        <v>3</v>
      </c>
      <c r="R12" s="42">
        <f t="shared" si="5"/>
        <v>43</v>
      </c>
      <c r="S12" s="30">
        <f t="shared" si="6"/>
        <v>325467</v>
      </c>
      <c r="T12" s="30">
        <f t="shared" si="7"/>
        <v>139536</v>
      </c>
      <c r="U12" s="31">
        <f t="shared" si="8"/>
        <v>2.3324948400412797</v>
      </c>
    </row>
    <row r="13" spans="2:21" ht="18" customHeight="1">
      <c r="B13" s="32" t="str">
        <f>'Data Entry'!A13</f>
        <v>8. Cases Resulting in Probation Placement</v>
      </c>
      <c r="C13" s="33">
        <f>'Data Entry'!C13</f>
        <v>38</v>
      </c>
      <c r="D13" s="34">
        <f>IF(((AND(C70&gt;0,C13&gt;0))),(C13/(C70)),0)</f>
        <v>180.95238095238096</v>
      </c>
      <c r="E13" s="33">
        <f>'Data Entry'!J13</f>
        <v>18</v>
      </c>
      <c r="F13" s="34">
        <f>IF(((AND($D$70&gt;0,$E$13&gt;0))),($E$13/($D$70)),0)</f>
        <v>138.46153846153845</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18</v>
      </c>
      <c r="O13" s="42">
        <f>(D70*L70)-E13</f>
        <v>-5</v>
      </c>
      <c r="P13" s="42">
        <f t="shared" si="4"/>
        <v>38</v>
      </c>
      <c r="Q13" s="42">
        <f>(C70*L70)-C13</f>
        <v>-17</v>
      </c>
      <c r="R13" s="42">
        <f t="shared" si="5"/>
        <v>34</v>
      </c>
      <c r="S13" s="30">
        <f t="shared" si="6"/>
        <v>457504</v>
      </c>
      <c r="T13" s="30">
        <f t="shared" si="7"/>
        <v>-336336</v>
      </c>
      <c r="U13" s="31">
        <f t="shared" si="8"/>
        <v>-1.3602587888302173</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13</v>
      </c>
      <c r="P14" s="42">
        <f t="shared" si="4"/>
        <v>0</v>
      </c>
      <c r="Q14" s="42">
        <f>(C70*L70)-C14</f>
        <v>21</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5.2631578947368425</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18</v>
      </c>
      <c r="P15" s="42">
        <f t="shared" si="4"/>
        <v>0</v>
      </c>
      <c r="Q15" s="42">
        <f>(C69*L69)-C15</f>
        <v>24</v>
      </c>
      <c r="R15" s="42">
        <f t="shared" si="5"/>
        <v>43</v>
      </c>
      <c r="S15" s="30">
        <f t="shared" si="6"/>
        <v>24768</v>
      </c>
      <c r="T15" s="30">
        <f t="shared" si="7"/>
        <v>19152</v>
      </c>
      <c r="U15" s="31">
        <f t="shared" si="8"/>
        <v>1.2932330827067668</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0.95899999999999996</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0.28999999999999998</v>
      </c>
      <c r="E44" s="56">
        <f>MAX(C44:D44,0)</f>
        <v>0.59</v>
      </c>
      <c r="G44" s="1" t="str">
        <f>B44</f>
        <v>per 100 referrals</v>
      </c>
      <c r="L44" s="57">
        <v>100</v>
      </c>
      <c r="M44" s="57"/>
      <c r="R44" s="49"/>
    </row>
    <row r="45" spans="2:18" ht="15" hidden="1" customHeight="1">
      <c r="B45" s="49" t="s">
        <v>89</v>
      </c>
      <c r="C45" s="49">
        <f>C11/100</f>
        <v>0.24</v>
      </c>
      <c r="D45" s="49">
        <f>E11/100</f>
        <v>0.19</v>
      </c>
      <c r="E45" s="56">
        <f>MAX(C45:D45,0)</f>
        <v>0.24</v>
      </c>
      <c r="G45" s="1" t="str">
        <f>B45</f>
        <v>per 100 youth petitioned</v>
      </c>
      <c r="L45" s="57">
        <v>100</v>
      </c>
      <c r="M45" s="57"/>
      <c r="R45" s="49"/>
    </row>
    <row r="46" spans="2:18" ht="15" hidden="1" customHeight="1">
      <c r="B46" s="49" t="s">
        <v>90</v>
      </c>
      <c r="C46" s="49">
        <f>C12/100</f>
        <v>0.21</v>
      </c>
      <c r="D46" s="49">
        <f>E12/100</f>
        <v>0.13</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0.95899999999999996</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4.1630000000000003</v>
      </c>
      <c r="D49" s="49">
        <f t="shared" si="9"/>
        <v>0.95899999999999996</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0.28999999999999998</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0.19</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0.13</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0.95899999999999996</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0.95899999999999996</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0.28999999999999998</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0.19</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0.13</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0.95899999999999996</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0.95899999999999996</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0.28999999999999998</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0.19</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0.13</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0.95899999999999996</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0.95899999999999996</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0.28999999999999998</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0.19</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0.13</v>
      </c>
      <c r="E70" s="56">
        <f>MAX(C70:D70)</f>
        <v>0.21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Cass</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f>'Black or African-American'!$G8</f>
        <v>3.6524825523429714</v>
      </c>
      <c r="D8" s="72">
        <f>Hispanic!G8</f>
        <v>1.0128132349363395</v>
      </c>
      <c r="E8" s="72" t="str">
        <f>Asian!G8</f>
        <v>*</v>
      </c>
      <c r="F8" s="72" t="str">
        <f>Hawaiian!G8</f>
        <v>*</v>
      </c>
      <c r="G8" s="72" t="str">
        <f>'Am Indian'!G8</f>
        <v>**</v>
      </c>
      <c r="H8" s="72" t="str">
        <f>'Other - Mixed'!G8</f>
        <v>*</v>
      </c>
      <c r="I8" s="73">
        <f>'All Minorities'!G8</f>
        <v>2.1337021261554234</v>
      </c>
      <c r="L8" s="1">
        <f>'Black or African-American'!L8</f>
        <v>1</v>
      </c>
      <c r="M8" s="1">
        <f>Hispanic!L8</f>
        <v>2</v>
      </c>
      <c r="N8" s="1">
        <f>Asian!L8</f>
        <v>139</v>
      </c>
      <c r="O8" s="1">
        <f>Hawaiian!L8</f>
        <v>139</v>
      </c>
      <c r="P8" s="1">
        <f>'Am Indian'!L8</f>
        <v>40</v>
      </c>
      <c r="Q8" s="1">
        <f>'Other - Mixed'!L8</f>
        <v>119</v>
      </c>
      <c r="R8" s="1">
        <f>'All Minorities'!L8</f>
        <v>1</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20</v>
      </c>
      <c r="N11" s="1" t="e">
        <f>Asian!L11</f>
        <v>#VALUE!</v>
      </c>
      <c r="O11" s="1" t="e">
        <f>Hawaiian!L11</f>
        <v>#VALUE!</v>
      </c>
      <c r="P11" s="1" t="e">
        <f>'Am Indian'!L11</f>
        <v>#VALUE!</v>
      </c>
      <c r="Q11" s="1">
        <f>'Other - Mixed'!L11</f>
        <v>139</v>
      </c>
      <c r="R11" s="1">
        <f>'All Minorities'!L11</f>
        <v>20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5122</v>
      </c>
      <c r="D3" s="57">
        <f>'Data Entry'!C6</f>
        <v>4163</v>
      </c>
      <c r="E3" s="57">
        <f>'Data Entry'!D6</f>
        <v>425</v>
      </c>
      <c r="F3" s="57">
        <f>'Data Entry'!E6</f>
        <v>418</v>
      </c>
      <c r="G3" s="57">
        <f>'Data Entry'!F6</f>
        <v>48</v>
      </c>
      <c r="H3" s="57">
        <f>'Data Entry'!G6</f>
        <v>0</v>
      </c>
      <c r="I3" s="57">
        <f>'Data Entry'!H6</f>
        <v>68</v>
      </c>
      <c r="J3" s="57">
        <f>'Data Entry'!I6</f>
        <v>0</v>
      </c>
      <c r="K3" s="57">
        <f>'Data Entry'!J6</f>
        <v>959</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17.180788754392815</v>
      </c>
      <c r="D5" s="1">
        <f>IF((D$3&gt;0),(1000*('Data Entry'!C8/'Data Entry'!C$6)), 0)</f>
        <v>14.172471775162144</v>
      </c>
      <c r="E5" s="1">
        <f>IF((E$3&gt;0),(1000*('Data Entry'!D8/'Data Entry'!D$6)), 0)</f>
        <v>51.764705882352942</v>
      </c>
      <c r="F5" s="1">
        <f>IF((F$3&gt;0),(1000*('Data Entry'!E8/'Data Entry'!E$6)), 0)</f>
        <v>14.354066985645934</v>
      </c>
      <c r="G5" s="1">
        <f>IF((G$3&gt;0),(1000*('Data Entry'!F8/'Data Entry'!F$6)), 0)</f>
        <v>0</v>
      </c>
      <c r="H5" s="1">
        <f>IF((H$3&gt;0),(1000*('Data Entry'!G8/'Data Entry'!G$6)), 0)</f>
        <v>0</v>
      </c>
      <c r="I5" s="1">
        <f>IF((I$3&gt;0),(1000*('Data Entry'!H8/'Data Entry'!H$6)), 0)</f>
        <v>0</v>
      </c>
      <c r="J5" s="1">
        <f>IF((J$3&gt;0),(1000*('Data Entry'!I8/'Data Entry'!I$6)), 0)</f>
        <v>0</v>
      </c>
      <c r="K5" s="1">
        <f>IF((K$3&gt;0),(1000*('Data Entry'!J8/'Data Entry'!J$6)), 0)</f>
        <v>30.239833159541188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8.3951581413510343</v>
      </c>
      <c r="D8" s="1">
        <f>IF((D$3&gt;0),(1000*('Data Entry'!C11/'Data Entry'!C$6)), 0)</f>
        <v>5.7650732644727363</v>
      </c>
      <c r="E8" s="1">
        <f>IF((E$3&gt;0),(1000*('Data Entry'!D11/'Data Entry'!D$6)), 0)</f>
        <v>30.588235294117649</v>
      </c>
      <c r="F8" s="1">
        <f>IF((F$3&gt;0),(1000*('Data Entry'!E11/'Data Entry'!E$6)), 0)</f>
        <v>11.961722488038278</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19.81230448383733</v>
      </c>
    </row>
    <row r="9" spans="2:11" ht="15" customHeight="1">
      <c r="B9" s="16" t="s">
        <v>13</v>
      </c>
      <c r="C9" s="1">
        <f>IF((C$3&gt;0),(1000*('Data Entry'!B12/'Data Entry'!B$6)), 0)</f>
        <v>6.6380320187426785</v>
      </c>
      <c r="D9" s="1">
        <f>IF((D$3&gt;0),(1000*('Data Entry'!C12/'Data Entry'!C$6)), 0)</f>
        <v>5.0444391064136438</v>
      </c>
      <c r="E9" s="1">
        <f>IF((E$3&gt;0),(1000*('Data Entry'!D12/'Data Entry'!D$6)), 0)</f>
        <v>18.823529411764703</v>
      </c>
      <c r="F9" s="1">
        <f>IF((F$3&gt;0),(1000*('Data Entry'!E12/'Data Entry'!E$6)), 0)</f>
        <v>9.5693779904306222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13.555787278415016</v>
      </c>
    </row>
    <row r="10" spans="2:11" ht="15" customHeight="1">
      <c r="B10" s="16" t="s">
        <v>14</v>
      </c>
      <c r="C10" s="1">
        <f>IF((C$3&gt;0),(1000*('Data Entry'!B13/'Data Entry'!B$6)), 0)</f>
        <v>10.933229207340883</v>
      </c>
      <c r="D10" s="1">
        <f>IF((D$3&gt;0),(1000*('Data Entry'!C13/'Data Entry'!C$6)), 0)</f>
        <v>9.1280326687484994</v>
      </c>
      <c r="E10" s="1">
        <f>IF((E$3&gt;0),(1000*('Data Entry'!D13/'Data Entry'!D$6)), 0)</f>
        <v>25.882352941176471</v>
      </c>
      <c r="F10" s="1">
        <f>IF((F$3&gt;0),(1000*('Data Entry'!E13/'Data Entry'!E$6)), 0)</f>
        <v>14.354066985645934</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18.769551616266945</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0.19523623584537292</v>
      </c>
      <c r="D12" s="1">
        <f>IF((D$3&gt;0),(1000*('Data Entry'!C15/'Data Entry'!C$6)), 0)</f>
        <v>0</v>
      </c>
      <c r="E12" s="1">
        <f>IF((E$3&gt;0),(1000*('Data Entry'!D15/'Data Entry'!D$6)), 0)</f>
        <v>2.3529411764705879</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1.0427528675703859</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Cass</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3.6524825523429709</v>
      </c>
      <c r="E20" s="72">
        <f t="shared" si="2"/>
        <v>1.0128132349363392</v>
      </c>
      <c r="F20" s="72" t="str">
        <f t="shared" si="2"/>
        <v>--</v>
      </c>
      <c r="G20" s="72" t="str">
        <f t="shared" si="2"/>
        <v>--</v>
      </c>
      <c r="H20" s="72" t="str">
        <f t="shared" si="2"/>
        <v>--</v>
      </c>
      <c r="I20" s="72" t="str">
        <f t="shared" si="2"/>
        <v>--</v>
      </c>
      <c r="J20" s="73">
        <f t="shared" si="2"/>
        <v>2.133702126155423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5.3057843137254901</v>
      </c>
      <c r="E23" s="72">
        <f t="shared" si="2"/>
        <v>2.0748604465709728</v>
      </c>
      <c r="F23" s="72" t="str">
        <f t="shared" si="2"/>
        <v>--</v>
      </c>
      <c r="G23" s="72" t="str">
        <f t="shared" si="2"/>
        <v>--</v>
      </c>
      <c r="H23" s="72" t="str">
        <f t="shared" si="2"/>
        <v>--</v>
      </c>
      <c r="I23" s="72" t="str">
        <f t="shared" si="2"/>
        <v>--</v>
      </c>
      <c r="J23" s="73">
        <f t="shared" si="2"/>
        <v>3.4366093152589503</v>
      </c>
    </row>
    <row r="24" spans="2:10" ht="15" customHeight="1">
      <c r="B24" s="71" t="s">
        <v>13</v>
      </c>
      <c r="C24" s="72">
        <f t="shared" si="2"/>
        <v>1</v>
      </c>
      <c r="D24" s="72">
        <f t="shared" si="2"/>
        <v>3.7315406162464981</v>
      </c>
      <c r="E24" s="72">
        <f t="shared" si="2"/>
        <v>1.8970152654363182</v>
      </c>
      <c r="F24" s="72" t="str">
        <f t="shared" si="2"/>
        <v>--</v>
      </c>
      <c r="G24" s="72" t="str">
        <f t="shared" si="2"/>
        <v>--</v>
      </c>
      <c r="H24" s="72" t="str">
        <f t="shared" si="2"/>
        <v>--</v>
      </c>
      <c r="I24" s="72" t="str">
        <f t="shared" si="2"/>
        <v>--</v>
      </c>
      <c r="J24" s="73">
        <f t="shared" si="2"/>
        <v>2.6872734495257959</v>
      </c>
    </row>
    <row r="25" spans="2:10" ht="15" customHeight="1">
      <c r="B25" s="71" t="s">
        <v>14</v>
      </c>
      <c r="C25" s="72">
        <f t="shared" si="2"/>
        <v>1</v>
      </c>
      <c r="D25" s="72">
        <f t="shared" si="2"/>
        <v>2.8354798761609907</v>
      </c>
      <c r="E25" s="72">
        <f t="shared" si="2"/>
        <v>1.5725258121380006</v>
      </c>
      <c r="F25" s="72" t="str">
        <f t="shared" si="2"/>
        <v>--</v>
      </c>
      <c r="G25" s="72" t="str">
        <f t="shared" si="2"/>
        <v>--</v>
      </c>
      <c r="H25" s="72" t="str">
        <f t="shared" si="2"/>
        <v>--</v>
      </c>
      <c r="I25" s="72" t="str">
        <f t="shared" si="2"/>
        <v>--</v>
      </c>
      <c r="J25" s="73">
        <f t="shared" si="2"/>
        <v>2.0562537731189288</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Cass</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4163</v>
      </c>
      <c r="D7" s="104">
        <f>'Data Entry'!D6</f>
        <v>425</v>
      </c>
      <c r="E7" s="105"/>
      <c r="F7" s="106">
        <f>'Data Entry'!E6</f>
        <v>418</v>
      </c>
      <c r="G7" s="105"/>
      <c r="H7" s="106">
        <f>'Data Entry'!F6</f>
        <v>48</v>
      </c>
      <c r="I7" s="105"/>
      <c r="J7" s="106">
        <f>'Data Entry'!G6</f>
        <v>0</v>
      </c>
      <c r="K7" s="105"/>
      <c r="L7" s="106">
        <f>'Data Entry'!H6</f>
        <v>68</v>
      </c>
      <c r="M7" s="105"/>
      <c r="N7" s="106">
        <f>'Data Entry'!I6</f>
        <v>0</v>
      </c>
      <c r="O7" s="105"/>
      <c r="P7" s="106">
        <f>'Data Entry'!J6</f>
        <v>959</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59</v>
      </c>
      <c r="D9" s="108">
        <f>'Data Entry'!D8</f>
        <v>22</v>
      </c>
      <c r="E9" s="109">
        <f>'Black or African-American'!$G8</f>
        <v>3.6524825523429714</v>
      </c>
      <c r="F9" s="110">
        <f>'Data Entry'!E8</f>
        <v>6</v>
      </c>
      <c r="G9" s="109">
        <f>Hispanic!G8</f>
        <v>1.0128132349363395</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29</v>
      </c>
      <c r="Q9" s="111">
        <f>'All Minorities'!G8</f>
        <v>2.1337021261554234</v>
      </c>
      <c r="R9"/>
      <c r="T9" s="1">
        <f>'Black or African-American'!L8</f>
        <v>1</v>
      </c>
      <c r="U9" s="1">
        <f>Hispanic!L8</f>
        <v>2</v>
      </c>
      <c r="V9" s="1">
        <f>Asian!L8</f>
        <v>139</v>
      </c>
      <c r="W9" s="1">
        <f>Hawaiian!L8</f>
        <v>139</v>
      </c>
      <c r="X9" s="1">
        <f>'Am Indian'!L8</f>
        <v>40</v>
      </c>
      <c r="Y9" s="1">
        <f>'Other - Mixed'!L8</f>
        <v>119</v>
      </c>
      <c r="Z9" s="1">
        <f>'All Minorities'!L8</f>
        <v>1</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24</v>
      </c>
      <c r="D12" s="112">
        <f>'Data Entry'!D11</f>
        <v>13</v>
      </c>
      <c r="E12" s="113" t="str">
        <f>'Black or African-American'!$G11</f>
        <v>**</v>
      </c>
      <c r="F12" s="114">
        <f>'Data Entry'!E11</f>
        <v>5</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19</v>
      </c>
      <c r="Q12" s="115" t="str">
        <f>'All Minorities'!G11</f>
        <v>**</v>
      </c>
      <c r="R12"/>
      <c r="T12" s="1">
        <f>'Black or African-American'!L11</f>
        <v>40</v>
      </c>
      <c r="U12" s="1">
        <f>Hispanic!L11</f>
        <v>20</v>
      </c>
      <c r="V12" s="1" t="e">
        <f>Asian!L11</f>
        <v>#VALUE!</v>
      </c>
      <c r="W12" s="1" t="e">
        <f>Hawaiian!L11</f>
        <v>#VALUE!</v>
      </c>
      <c r="X12" s="1" t="e">
        <f>'Am Indian'!L11</f>
        <v>#VALUE!</v>
      </c>
      <c r="Y12" s="1">
        <f>'Other - Mixed'!L11</f>
        <v>139</v>
      </c>
      <c r="Z12" s="1">
        <f>'All Minorities'!L11</f>
        <v>20</v>
      </c>
    </row>
    <row r="13" spans="2:26" s="1" customFormat="1" ht="15" customHeight="1">
      <c r="B13" s="142" t="s">
        <v>13</v>
      </c>
      <c r="C13" s="103">
        <f>'Data Entry'!C12</f>
        <v>21</v>
      </c>
      <c r="D13" s="108">
        <f>'Data Entry'!D12</f>
        <v>8</v>
      </c>
      <c r="E13" s="109" t="str">
        <f>'Black or African-American'!$G12</f>
        <v>**</v>
      </c>
      <c r="F13" s="110">
        <f>'Data Entry'!E12</f>
        <v>4</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13</v>
      </c>
      <c r="Q13" s="111"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38</v>
      </c>
      <c r="D14" s="112">
        <f>'Data Entry'!D13</f>
        <v>11</v>
      </c>
      <c r="E14" s="113" t="str">
        <f>'Black or African-American'!$G13</f>
        <v>**</v>
      </c>
      <c r="F14" s="114">
        <f>'Data Entry'!E13</f>
        <v>6</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18</v>
      </c>
      <c r="Q14" s="115"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Cass</v>
      </c>
    </row>
    <row r="6" spans="1:12">
      <c r="A6" s="135" t="str">
        <f>CONCATENATE("Percentage of Minorities at Stages of the Juvenile Justice System, ", A5, " 2024")</f>
        <v>Percentage of Minorities at Stages of the Juvenile Justice System, County: Cass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1</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4.3409801876955161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4.3409801876955161</v>
      </c>
    </row>
    <row r="9" spans="1:12">
      <c r="A9" s="128" t="str">
        <f>CONCATENATE("Delinquent Findings, total N=", 'Data Entry'!B12)</f>
        <v>Delinquent Findings, total N=34</v>
      </c>
      <c r="B9" s="150">
        <f>'Data Entry'!D12/'Data Entry'!B12</f>
        <v>0.23529411764705882</v>
      </c>
      <c r="C9" s="150">
        <f>'Data Entry'!E12/'Data Entry'!B12</f>
        <v>0.11764705882352941</v>
      </c>
      <c r="D9" s="150">
        <f>'Data Entry'!F12/'Data Entry'!B12</f>
        <v>0</v>
      </c>
      <c r="E9" s="150">
        <f>'Data Entry'!G12/'Data Entry'!B12</f>
        <v>0</v>
      </c>
      <c r="F9" s="150">
        <f>'Data Entry'!H12/'Data Entry'!B12</f>
        <v>0</v>
      </c>
      <c r="G9" s="150">
        <f>'Data Entry'!I12/'Data Entry'!B12</f>
        <v>2.9411764705882353E-2</v>
      </c>
      <c r="H9" s="150">
        <f>SUM(D9:G9)/'Data Entry'!B12</f>
        <v>8.6505190311418688E-4</v>
      </c>
      <c r="I9" s="150">
        <f>'Data Entry'!C12/'Data Entry'!B12</f>
        <v>0.61764705882352944</v>
      </c>
      <c r="K9" s="96" t="str">
        <f t="shared" si="0"/>
        <v>Delinquent Findings, total N=34</v>
      </c>
      <c r="L9">
        <f>I14/(SUM(B14:G14))</f>
        <v>4.3409801876955161</v>
      </c>
    </row>
    <row r="10" spans="1:12">
      <c r="A10" s="128" t="str">
        <f>CONCATENATE("Petitions, total N=", 'Data Entry'!B11)</f>
        <v>Petitions, total N=43</v>
      </c>
      <c r="B10" s="150">
        <f>'Data Entry'!D11/'Data Entry'!B11</f>
        <v>0.30232558139534882</v>
      </c>
      <c r="C10" s="150">
        <f>'Data Entry'!E11/'Data Entry'!B11</f>
        <v>0.11627906976744186</v>
      </c>
      <c r="D10" s="150">
        <f>'Data Entry'!F11/'Data Entry'!B11</f>
        <v>0</v>
      </c>
      <c r="E10" s="150">
        <f>'Data Entry'!G11/'Data Entry'!B11</f>
        <v>0</v>
      </c>
      <c r="F10" s="150">
        <f>'Data Entry'!H11/'Data Entry'!B11</f>
        <v>0</v>
      </c>
      <c r="G10" s="150">
        <f>'Data Entry'!I11/'Data Entry'!B11</f>
        <v>2.3255813953488372E-2</v>
      </c>
      <c r="H10" s="150">
        <f>SUM(D10:G10)/'Data Entry'!B11</f>
        <v>5.4083288263926451E-4</v>
      </c>
      <c r="I10" s="150">
        <f>'Data Entry'!C11/'Data Entry'!B11</f>
        <v>0.55813953488372092</v>
      </c>
      <c r="K10" s="96" t="str">
        <f t="shared" si="0"/>
        <v>Petitions, total N=43</v>
      </c>
      <c r="L10">
        <f>I14/(SUM(B14:G14))</f>
        <v>4.3409801876955161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4.3409801876955161</v>
      </c>
    </row>
    <row r="12" spans="1:12">
      <c r="A12" s="128" t="str">
        <f>CONCATENATE("Referrals, total N=", 'Data Entry'!B8)</f>
        <v>Referrals, total N=88</v>
      </c>
      <c r="B12" s="150">
        <f>'Data Entry'!D8/'Data Entry'!B8</f>
        <v>0.25</v>
      </c>
      <c r="C12" s="150">
        <f>'Data Entry'!E8/'Data Entry'!B8</f>
        <v>6.8181818181818177E-2</v>
      </c>
      <c r="D12" s="150">
        <f>'Data Entry'!F8/'Data Entry'!B8</f>
        <v>0</v>
      </c>
      <c r="E12" s="150">
        <f>'Data Entry'!G8/'Data Entry'!B8</f>
        <v>0</v>
      </c>
      <c r="F12" s="150">
        <f>'Data Entry'!H8/'Data Entry'!B8</f>
        <v>0</v>
      </c>
      <c r="G12" s="150">
        <f>'Data Entry'!I8/'Data Entry'!B8</f>
        <v>1.1363636363636364E-2</v>
      </c>
      <c r="H12" s="150">
        <f>SUM(D12:G12)/'Data Entry'!B8</f>
        <v>1.2913223140495868E-4</v>
      </c>
      <c r="I12" s="150">
        <f>'Data Entry'!C8/'Data Entry'!B8</f>
        <v>0.67045454545454541</v>
      </c>
      <c r="K12" s="96" t="str">
        <f t="shared" si="0"/>
        <v>Referrals, total N=88</v>
      </c>
      <c r="L12">
        <f>I14/(SUM(B14:G14))</f>
        <v>4.3409801876955161</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4.3409801876955161</v>
      </c>
    </row>
    <row r="14" spans="1:12">
      <c r="A14" s="128" t="str">
        <f>CONCATENATE("Population, total N=", 'Data Entry'!B6)</f>
        <v>Population, total N=5122</v>
      </c>
      <c r="B14" s="150">
        <f>'Data Entry'!D6/'Data Entry'!B6</f>
        <v>8.2975400234283486E-2</v>
      </c>
      <c r="C14" s="150">
        <f>'Data Entry'!E6/'Data Entry'!B6</f>
        <v>8.1608746583365879E-2</v>
      </c>
      <c r="D14" s="150">
        <f>'Data Entry'!F6/'Data Entry'!B6</f>
        <v>9.3713393205778987E-3</v>
      </c>
      <c r="E14" s="150">
        <f>'Data Entry'!G6/'Data Entry'!B6</f>
        <v>0</v>
      </c>
      <c r="F14" s="150">
        <f>'Data Entry'!H6/'Data Entry'!B6</f>
        <v>1.3276064037485357E-2</v>
      </c>
      <c r="G14" s="150">
        <f>'Data Entry'!I6/'Data Entry'!B6</f>
        <v>0</v>
      </c>
      <c r="H14" s="150">
        <f>SUM(D14:G14)/'Data Entry'!B6</f>
        <v>4.4215937833001285E-6</v>
      </c>
      <c r="I14" s="150">
        <f>'Data Entry'!C6/'Data Entry'!B6</f>
        <v>0.81276844982428742</v>
      </c>
      <c r="K14" s="96" t="str">
        <f t="shared" si="0"/>
        <v>Population, total N=5122</v>
      </c>
      <c r="L14">
        <f>I14/(SUM(B14:G14))</f>
        <v>4.3409801876955161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Cass</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4163</v>
      </c>
      <c r="D7" s="104">
        <f>'Data Entry'!D6</f>
        <v>425</v>
      </c>
      <c r="E7" s="105"/>
      <c r="F7" s="106">
        <f>'Data Entry'!E6</f>
        <v>418</v>
      </c>
      <c r="G7" s="105"/>
      <c r="H7" s="106">
        <f>'Data Entry'!F6</f>
        <v>48</v>
      </c>
      <c r="I7" s="105"/>
      <c r="J7" s="106">
        <f>'Data Entry'!J6</f>
        <v>959</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59</v>
      </c>
      <c r="D9" s="108">
        <f>'Data Entry'!D8</f>
        <v>22</v>
      </c>
      <c r="E9" s="109">
        <f>'Black or African-American'!$G8</f>
        <v>3.6524825523429714</v>
      </c>
      <c r="F9" s="110">
        <f>'Data Entry'!E8</f>
        <v>6</v>
      </c>
      <c r="G9" s="109">
        <f>Hispanic!G8</f>
        <v>1.0128132349363395</v>
      </c>
      <c r="H9" s="110">
        <f>'Data Entry'!F8</f>
        <v>0</v>
      </c>
      <c r="I9" s="109" t="str">
        <f>Asian!G8</f>
        <v>*</v>
      </c>
      <c r="J9" s="110">
        <f>'Data Entry'!J8</f>
        <v>29</v>
      </c>
      <c r="K9" s="111">
        <f>'All Minorities'!G8</f>
        <v>2.1337021261554234</v>
      </c>
      <c r="L9"/>
      <c r="N9" s="1">
        <f>'Black or African-American'!L8</f>
        <v>1</v>
      </c>
      <c r="O9" s="1">
        <f>Hispanic!L8</f>
        <v>2</v>
      </c>
      <c r="P9" s="1">
        <f>Asian!L8</f>
        <v>139</v>
      </c>
      <c r="Q9" s="1">
        <f>Hawaiian!L8</f>
        <v>139</v>
      </c>
      <c r="R9" s="1">
        <f>'Am Indian'!L8</f>
        <v>40</v>
      </c>
      <c r="S9" s="1">
        <f>'Other - Mixed'!L8</f>
        <v>119</v>
      </c>
      <c r="T9" s="1">
        <f>'All Minorities'!L8</f>
        <v>1</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24</v>
      </c>
      <c r="D12" s="112">
        <f>'Data Entry'!D11</f>
        <v>13</v>
      </c>
      <c r="E12" s="113" t="str">
        <f>'Black or African-American'!$G11</f>
        <v>**</v>
      </c>
      <c r="F12" s="114">
        <f>'Data Entry'!E11</f>
        <v>5</v>
      </c>
      <c r="G12" s="113" t="str">
        <f>Hispanic!G11</f>
        <v>**</v>
      </c>
      <c r="H12" s="114">
        <f>'Data Entry'!F11</f>
        <v>0</v>
      </c>
      <c r="I12" s="113" t="str">
        <f>Asian!G11</f>
        <v>*</v>
      </c>
      <c r="J12" s="114">
        <f>'Data Entry'!J11</f>
        <v>19</v>
      </c>
      <c r="K12" s="115" t="str">
        <f>'All Minorities'!G11</f>
        <v>**</v>
      </c>
      <c r="L12"/>
      <c r="N12" s="1">
        <f>'Black or African-American'!L11</f>
        <v>40</v>
      </c>
      <c r="O12" s="1">
        <f>Hispanic!L11</f>
        <v>20</v>
      </c>
      <c r="P12" s="1" t="e">
        <f>Asian!L11</f>
        <v>#VALUE!</v>
      </c>
      <c r="Q12" s="1" t="e">
        <f>Hawaiian!L11</f>
        <v>#VALUE!</v>
      </c>
      <c r="R12" s="1" t="e">
        <f>'Am Indian'!L11</f>
        <v>#VALUE!</v>
      </c>
      <c r="S12" s="1">
        <f>'Other - Mixed'!L11</f>
        <v>139</v>
      </c>
      <c r="T12" s="1">
        <f>'All Minorities'!L11</f>
        <v>20</v>
      </c>
    </row>
    <row r="13" spans="2:30" s="1" customFormat="1" ht="15" customHeight="1">
      <c r="B13" s="121" t="s">
        <v>13</v>
      </c>
      <c r="C13" s="103">
        <f>'Data Entry'!C12</f>
        <v>21</v>
      </c>
      <c r="D13" s="108">
        <f>'Data Entry'!D12</f>
        <v>8</v>
      </c>
      <c r="E13" s="109" t="str">
        <f>'Black or African-American'!$G12</f>
        <v>**</v>
      </c>
      <c r="F13" s="110">
        <f>'Data Entry'!E12</f>
        <v>4</v>
      </c>
      <c r="G13" s="109" t="str">
        <f>Hispanic!G12</f>
        <v>**</v>
      </c>
      <c r="H13" s="110">
        <f>'Data Entry'!F12</f>
        <v>0</v>
      </c>
      <c r="I13" s="109" t="str">
        <f>Asian!G12</f>
        <v>*</v>
      </c>
      <c r="J13" s="110">
        <f>'Data Entry'!J12</f>
        <v>13</v>
      </c>
      <c r="K13" s="111"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38</v>
      </c>
      <c r="D14" s="112">
        <f>'Data Entry'!D13</f>
        <v>11</v>
      </c>
      <c r="E14" s="113" t="str">
        <f>'Black or African-American'!$G13</f>
        <v>**</v>
      </c>
      <c r="F14" s="114">
        <f>'Data Entry'!E13</f>
        <v>6</v>
      </c>
      <c r="G14" s="113" t="str">
        <f>Hispanic!G13</f>
        <v>**</v>
      </c>
      <c r="H14" s="114">
        <f>'Data Entry'!F13</f>
        <v>0</v>
      </c>
      <c r="I14" s="113" t="str">
        <f>Asian!G13</f>
        <v>*</v>
      </c>
      <c r="J14" s="114">
        <f>'Data Entry'!J13</f>
        <v>18</v>
      </c>
      <c r="K14" s="115"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Entry'!J15</f>
        <v>1</v>
      </c>
      <c r="K16" s="119"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Entry'!D6</f>
        <v>425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425</v>
      </c>
      <c r="P7" s="42">
        <f t="shared" ref="P7:P15" si="2">C7</f>
        <v>0</v>
      </c>
      <c r="Q7" s="42">
        <f>C6-C7</f>
        <v>4163</v>
      </c>
      <c r="R7" s="42">
        <f t="shared" ref="R7:R15" si="3">SUM(N7:Q7)</f>
        <v>4588</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59</v>
      </c>
      <c r="D8" s="34">
        <f>IF((AND(C67&gt;0,C8&gt;0)),(C8/C67),0)</f>
        <v>14.172471775162142</v>
      </c>
      <c r="E8" s="33">
        <f>'Data Entry'!D8</f>
        <v>22</v>
      </c>
      <c r="F8" s="34">
        <f>IF((AND($E$8&gt;0,$D$67&gt;0)),($E8/$D67),0)</f>
        <v>51.764705882352942</v>
      </c>
      <c r="G8" s="39">
        <f t="shared" ref="G8:G15" si="7">IF(L$6=100,"*",IF(M8=FALSE,"--",IF(K8=20,"**",($F8/$D8))))</f>
        <v>3.6524825523429714</v>
      </c>
      <c r="H8" s="40"/>
      <c r="I8" s="41"/>
      <c r="J8" s="40">
        <f>IF((ABS($U8)&gt;Defaults!D$7),1,2)</f>
        <v>1</v>
      </c>
      <c r="K8" s="39">
        <f>IF((AND(N8&gt;Defaults!B$12,(N8+O8)&gt;Defaults!B$13, P8 &gt; Defaults!B$12, (P8+Q8) &gt; Defaults!B$13)),1,20)</f>
        <v>1</v>
      </c>
      <c r="L8" s="1">
        <f t="shared" ref="L8:L15" si="8">(J8*K8+L$6)-1</f>
        <v>1</v>
      </c>
      <c r="M8" s="1" t="b">
        <f t="shared" si="0"/>
        <v>1</v>
      </c>
      <c r="N8" s="42">
        <f t="shared" si="1"/>
        <v>22</v>
      </c>
      <c r="O8" s="42">
        <f>((D67*L67)-E8)+0.05</f>
        <v>403.05</v>
      </c>
      <c r="P8" s="42">
        <f t="shared" si="2"/>
        <v>59</v>
      </c>
      <c r="Q8" s="42">
        <f>(C$67*L67)-C8</f>
        <v>4104</v>
      </c>
      <c r="R8" s="42">
        <f t="shared" si="3"/>
        <v>4588.05</v>
      </c>
      <c r="S8" s="30">
        <f t="shared" si="4"/>
        <v>20294416605549.613</v>
      </c>
      <c r="T8" s="30">
        <f t="shared" si="5"/>
        <v>645987071527.8075</v>
      </c>
      <c r="U8" s="31">
        <f t="shared" si="6"/>
        <v>31.416134316050332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22</v>
      </c>
      <c r="P9" s="42">
        <f t="shared" si="2"/>
        <v>0</v>
      </c>
      <c r="Q9" s="42">
        <f>(C$68*L68)-C9</f>
        <v>59</v>
      </c>
      <c r="R9" s="42">
        <f t="shared" si="3"/>
        <v>81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22</v>
      </c>
      <c r="P10" s="42">
        <f t="shared" si="2"/>
        <v>0</v>
      </c>
      <c r="Q10" s="42">
        <f>(C$68*L68)-C10</f>
        <v>59</v>
      </c>
      <c r="R10" s="42">
        <f t="shared" si="3"/>
        <v>81</v>
      </c>
      <c r="S10" s="30">
        <f t="shared" si="4"/>
        <v>0</v>
      </c>
      <c r="T10" s="30">
        <f t="shared" si="5"/>
        <v>0</v>
      </c>
      <c r="U10" s="31" t="str">
        <f t="shared" si="6"/>
        <v>- -</v>
      </c>
    </row>
    <row r="11" spans="2:21" ht="18" customHeight="1">
      <c r="B11" s="32" t="str">
        <f>'Data Entry'!A11</f>
        <v>6. Cases Petitioned (Charge Filed)</v>
      </c>
      <c r="C11" s="33">
        <f>'Data Entry'!C11</f>
        <v>24</v>
      </c>
      <c r="D11" s="34">
        <f>IF(((AND(C68&gt;0,C11&gt;0))),(C11/(C68)),0)</f>
        <v>40.677966101694921</v>
      </c>
      <c r="E11" s="33">
        <f>'Data Entry'!D11</f>
        <v>13</v>
      </c>
      <c r="F11" s="34">
        <f>IF(((AND($E$11&gt;0,$D$68&gt;0))),($E$11/($D$68)),0)</f>
        <v>59.090909090909093</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13</v>
      </c>
      <c r="O11" s="42">
        <f>(D$68*L68)-E11</f>
        <v>9</v>
      </c>
      <c r="P11" s="42">
        <f t="shared" si="2"/>
        <v>24</v>
      </c>
      <c r="Q11" s="42">
        <f>(C$68*L68)-C11</f>
        <v>35</v>
      </c>
      <c r="R11" s="42">
        <f t="shared" si="3"/>
        <v>81</v>
      </c>
      <c r="S11" s="30">
        <f t="shared" si="4"/>
        <v>4626801</v>
      </c>
      <c r="T11" s="30">
        <f t="shared" si="5"/>
        <v>2113144</v>
      </c>
      <c r="U11" s="31">
        <f t="shared" si="6"/>
        <v>2.1895341727776243</v>
      </c>
    </row>
    <row r="12" spans="2:21" ht="18" customHeight="1">
      <c r="B12" s="32" t="str">
        <f>'Data Entry'!A12</f>
        <v>7. Cases Resulting in Delinquent Findings</v>
      </c>
      <c r="C12" s="33">
        <f>'Data Entry'!C12</f>
        <v>21</v>
      </c>
      <c r="D12" s="34">
        <f>IF(((AND(C69&gt;0,C12&gt;0))),(C12/(C69)),0)</f>
        <v>87.5</v>
      </c>
      <c r="E12" s="33">
        <f>'Data Entry'!D12</f>
        <v>8</v>
      </c>
      <c r="F12" s="34">
        <f>IF(((AND($D$69&gt;0,$E$12&gt;0))),(E12/(D69)),0)</f>
        <v>61.538461538461533</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8</v>
      </c>
      <c r="O12" s="42">
        <f>(D69*L69)-E12</f>
        <v>5</v>
      </c>
      <c r="P12" s="42">
        <f t="shared" si="2"/>
        <v>21</v>
      </c>
      <c r="Q12" s="42">
        <f>(C69*L69)-C12</f>
        <v>3</v>
      </c>
      <c r="R12" s="42">
        <f t="shared" si="3"/>
        <v>37</v>
      </c>
      <c r="S12" s="30">
        <f t="shared" si="4"/>
        <v>242757</v>
      </c>
      <c r="T12" s="30">
        <f t="shared" si="5"/>
        <v>72384</v>
      </c>
      <c r="U12" s="31">
        <f t="shared" si="6"/>
        <v>3.3537383952254642</v>
      </c>
    </row>
    <row r="13" spans="2:21" ht="18" customHeight="1">
      <c r="B13" s="32" t="str">
        <f>'Data Entry'!A13</f>
        <v>8. Cases Resulting in Probation Placement</v>
      </c>
      <c r="C13" s="33">
        <f>'Data Entry'!C13</f>
        <v>38</v>
      </c>
      <c r="D13" s="34">
        <f>IF(((AND(C70&gt;0,C13&gt;0))),(C13/(C70)),0)</f>
        <v>180.95238095238096</v>
      </c>
      <c r="E13" s="33">
        <f>'Data Entry'!D13</f>
        <v>11</v>
      </c>
      <c r="F13" s="34">
        <f>IF(((AND($D$70&gt;0,$E$13&gt;0))),($E$13/($D$70)),0)</f>
        <v>137.5</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11</v>
      </c>
      <c r="O13" s="42">
        <f>(D70*L70)-E13</f>
        <v>-3</v>
      </c>
      <c r="P13" s="42">
        <f t="shared" si="2"/>
        <v>38</v>
      </c>
      <c r="Q13" s="42">
        <f>(C70*L70)-C13</f>
        <v>-17</v>
      </c>
      <c r="R13" s="42">
        <f t="shared" si="3"/>
        <v>29</v>
      </c>
      <c r="S13" s="30">
        <f t="shared" si="4"/>
        <v>154541</v>
      </c>
      <c r="T13" s="30">
        <f t="shared" si="5"/>
        <v>-164640</v>
      </c>
      <c r="U13" s="31">
        <f t="shared" si="6"/>
        <v>-0.93866010689990287</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8</v>
      </c>
      <c r="P14" s="42">
        <f t="shared" si="2"/>
        <v>0</v>
      </c>
      <c r="Q14" s="42">
        <f>(C70*L70)-C14</f>
        <v>21</v>
      </c>
      <c r="R14" s="42">
        <f t="shared" si="3"/>
        <v>29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1</v>
      </c>
      <c r="F15" s="34">
        <f>IF(((AND($D$69&gt;0,$E$15&gt;0))),(($E$15/($D$69))),0)</f>
        <v>7.6923076923076916</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1</v>
      </c>
      <c r="O15" s="42">
        <f>(D69*L69)-E15</f>
        <v>12</v>
      </c>
      <c r="P15" s="42">
        <f t="shared" si="2"/>
        <v>0</v>
      </c>
      <c r="Q15" s="42">
        <f>(C69*L69)-C15</f>
        <v>24</v>
      </c>
      <c r="R15" s="42">
        <f t="shared" si="3"/>
        <v>37</v>
      </c>
      <c r="S15" s="30">
        <f t="shared" si="4"/>
        <v>21312</v>
      </c>
      <c r="T15" s="30">
        <f t="shared" si="5"/>
        <v>11232</v>
      </c>
      <c r="U15" s="31">
        <f t="shared" si="6"/>
        <v>1.8974358974358974</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0.42499999999999999</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0.22</v>
      </c>
      <c r="E44" s="56">
        <f>MAX(C44:D44,0)</f>
        <v>0.59</v>
      </c>
      <c r="G44" s="1" t="str">
        <f>B44</f>
        <v>per 100 referrals</v>
      </c>
      <c r="L44" s="57">
        <v>100</v>
      </c>
      <c r="M44" s="57"/>
      <c r="R44" s="49"/>
    </row>
    <row r="45" spans="2:18" ht="15" hidden="1" customHeight="1">
      <c r="B45" s="49" t="s">
        <v>89</v>
      </c>
      <c r="C45" s="49">
        <f>C11/100</f>
        <v>0.24</v>
      </c>
      <c r="D45" s="49">
        <f>E11/100</f>
        <v>0.13</v>
      </c>
      <c r="E45" s="56">
        <f>MAX(C45:D45,0)</f>
        <v>0.24</v>
      </c>
      <c r="G45" s="1" t="str">
        <f>B45</f>
        <v>per 100 youth petitioned</v>
      </c>
      <c r="L45" s="57">
        <v>100</v>
      </c>
      <c r="M45" s="57"/>
      <c r="R45" s="49"/>
    </row>
    <row r="46" spans="2:18" ht="15" hidden="1" customHeight="1">
      <c r="B46" s="49" t="s">
        <v>90</v>
      </c>
      <c r="C46" s="49">
        <f>C12/100</f>
        <v>0.21</v>
      </c>
      <c r="D46" s="49">
        <f>E12/100</f>
        <v>0.08</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0.42499999999999999</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4.1630000000000003</v>
      </c>
      <c r="D49" s="49">
        <f t="shared" si="9"/>
        <v>0.42499999999999999</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0.22</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0.13</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0.08</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0.42499999999999999</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0.42499999999999999</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0.22</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0.13</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0.08</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0.42499999999999999</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0.42499999999999999</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0.22</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0.13</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0.08</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0.42499999999999999</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0.42499999999999999</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0.22</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0.13</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0.08</v>
      </c>
      <c r="E70" s="56">
        <f>MAX(C70:D70)</f>
        <v>0.21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Entry'!F6</f>
        <v>48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48</v>
      </c>
      <c r="P7" s="42">
        <f t="shared" ref="P7:P15" si="4">C7</f>
        <v>0</v>
      </c>
      <c r="Q7" s="42">
        <f>C6-C7</f>
        <v>4163</v>
      </c>
      <c r="R7" s="42">
        <f t="shared" ref="R7:R15" si="5">SUM(N7:Q7)</f>
        <v>4211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59</v>
      </c>
      <c r="D8" s="34">
        <f>IF((AND(C67&gt;0,C8&gt;0)),(C8/C67),0)</f>
        <v>14.172471775162142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48.05</v>
      </c>
      <c r="P8" s="42">
        <f t="shared" si="4"/>
        <v>59</v>
      </c>
      <c r="Q8" s="42">
        <f>(C$67*L67)-C8</f>
        <v>4104</v>
      </c>
      <c r="R8" s="42">
        <f t="shared" si="5"/>
        <v>4211.05</v>
      </c>
      <c r="S8" s="30">
        <f t="shared" si="6"/>
        <v>33843962514.102619</v>
      </c>
      <c r="T8" s="30">
        <f t="shared" si="7"/>
        <v>49002065816.042503</v>
      </c>
      <c r="U8" s="31">
        <f t="shared" si="8"/>
        <v>0.69066399447638471</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59</v>
      </c>
      <c r="R9" s="42">
        <f t="shared" si="5"/>
        <v>59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59</v>
      </c>
      <c r="R10" s="42">
        <f t="shared" si="5"/>
        <v>59</v>
      </c>
      <c r="S10" s="30">
        <f t="shared" si="6"/>
        <v>0</v>
      </c>
      <c r="T10" s="30">
        <f t="shared" si="7"/>
        <v>0</v>
      </c>
      <c r="U10" s="31" t="str">
        <f t="shared" si="8"/>
        <v>- -</v>
      </c>
    </row>
    <row r="11" spans="2:21" ht="18" customHeight="1">
      <c r="B11" s="32" t="str">
        <f>'Data Entry'!A11</f>
        <v>6. Cases Petitioned (Charge Filed)</v>
      </c>
      <c r="C11" s="33">
        <f>'Data Entry'!C11</f>
        <v>24</v>
      </c>
      <c r="D11" s="34">
        <f>IF(((AND(C68&gt;0,C11&gt;0))),(C11/(C68)),0)</f>
        <v>40.677966101694921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35</v>
      </c>
      <c r="R11" s="42">
        <f t="shared" si="5"/>
        <v>59</v>
      </c>
      <c r="S11" s="30">
        <f t="shared" si="6"/>
        <v>0</v>
      </c>
      <c r="T11" s="30">
        <f t="shared" si="7"/>
        <v>0</v>
      </c>
      <c r="U11" s="31" t="str">
        <f t="shared" si="8"/>
        <v>- -</v>
      </c>
    </row>
    <row r="12" spans="2:21" ht="18" customHeight="1">
      <c r="B12" s="32" t="str">
        <f>'Data Entry'!A12</f>
        <v>7. Cases Resulting in Delinquent Findings</v>
      </c>
      <c r="C12" s="33">
        <f>'Data Entry'!C12</f>
        <v>21</v>
      </c>
      <c r="D12" s="34">
        <f>IF(((AND(C69&gt;0,C12&gt;0))),(C12/(C69)),0)</f>
        <v>87.5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180.95238095238096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-17</v>
      </c>
      <c r="R13" s="42">
        <f t="shared" si="5"/>
        <v>21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21</v>
      </c>
      <c r="R14" s="42">
        <f t="shared" si="5"/>
        <v>21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4.8000000000000001E-2</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v>
      </c>
      <c r="E44" s="56">
        <f>MAX(C44:D44,0)</f>
        <v>0.59</v>
      </c>
      <c r="G44" s="1" t="str">
        <f>B44</f>
        <v>per 100 referrals</v>
      </c>
      <c r="L44" s="57">
        <v>100</v>
      </c>
      <c r="M44" s="57"/>
      <c r="R44" s="49"/>
    </row>
    <row r="45" spans="2:18" ht="15" hidden="1" customHeight="1">
      <c r="B45" s="49" t="s">
        <v>89</v>
      </c>
      <c r="C45" s="49">
        <f>C11/100</f>
        <v>0.24</v>
      </c>
      <c r="D45" s="49">
        <f>E11/100</f>
        <v>0</v>
      </c>
      <c r="E45" s="56">
        <f>MAX(C45:D45,0)</f>
        <v>0.24</v>
      </c>
      <c r="G45" s="1" t="str">
        <f>B45</f>
        <v>per 100 youth petitioned</v>
      </c>
      <c r="L45" s="57">
        <v>100</v>
      </c>
      <c r="M45" s="57"/>
      <c r="R45" s="49"/>
    </row>
    <row r="46" spans="2:18" ht="15" hidden="1" customHeight="1">
      <c r="B46" s="49" t="s">
        <v>90</v>
      </c>
      <c r="C46" s="49">
        <f>C12/100</f>
        <v>0.21</v>
      </c>
      <c r="D46" s="49">
        <f>E12/100</f>
        <v>0</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4.8000000000000001E-2</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4.1630000000000003</v>
      </c>
      <c r="D49" s="49">
        <f t="shared" si="9"/>
        <v>4.8000000000000001E-2</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4.8000000000000001E-2</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4.8000000000000001E-2</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4.8000000000000001E-2</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4.8000000000000001E-2</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4.8000000000000001E-2</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4.8000000000000001E-2</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Entry'!E6</f>
        <v>418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418</v>
      </c>
      <c r="P7" s="42">
        <f t="shared" ref="P7:P15" si="4">C7</f>
        <v>0</v>
      </c>
      <c r="Q7" s="42">
        <f>C6-C7</f>
        <v>4163</v>
      </c>
      <c r="R7" s="42">
        <f t="shared" ref="R7:R15" si="5">SUM(N7:Q7)</f>
        <v>4581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59</v>
      </c>
      <c r="D8" s="34">
        <f>IF((AND(C67&gt;0,C8&gt;0)),(C8/C67),0)</f>
        <v>14.172471775162142</v>
      </c>
      <c r="E8" s="33">
        <f>'Data Entry'!E8</f>
        <v>6</v>
      </c>
      <c r="F8" s="34">
        <f>IF((AND($E$8&gt;0,$D$67&gt;0)),($E8/$D67),0)</f>
        <v>14.354066985645934</v>
      </c>
      <c r="G8" s="39">
        <f t="shared" si="0"/>
        <v>1.0128132349363395</v>
      </c>
      <c r="H8" s="40"/>
      <c r="I8" s="41"/>
      <c r="J8" s="40">
        <f>IF((ABS($U8)&gt;Defaults!D$7),1,2)</f>
        <v>2</v>
      </c>
      <c r="K8" s="39">
        <f>IF((AND(N8&gt;Defaults!B$12,(N8+O8)&gt;Defaults!B$13, P8 &gt; Defaults!B$12, (P8+Q8) &gt; Defaults!B$13)),1,20)</f>
        <v>1</v>
      </c>
      <c r="L8" s="1">
        <f t="shared" si="1"/>
        <v>2</v>
      </c>
      <c r="M8" s="1" t="b">
        <f t="shared" si="2"/>
        <v>1</v>
      </c>
      <c r="N8" s="42">
        <f t="shared" si="3"/>
        <v>6</v>
      </c>
      <c r="O8" s="42">
        <f>((D67*L67)-E8)+0.05</f>
        <v>412.05</v>
      </c>
      <c r="P8" s="42">
        <f t="shared" si="4"/>
        <v>59</v>
      </c>
      <c r="Q8" s="42">
        <f>(C$67*L67)-C8</f>
        <v>4104</v>
      </c>
      <c r="R8" s="42">
        <f t="shared" si="5"/>
        <v>4581.05</v>
      </c>
      <c r="S8" s="30">
        <f t="shared" si="6"/>
        <v>448944285.76762289</v>
      </c>
      <c r="T8" s="30">
        <f t="shared" si="7"/>
        <v>510865690822.98761</v>
      </c>
      <c r="U8" s="31">
        <f t="shared" si="8"/>
        <v>8.7879122405810537E-4</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59</v>
      </c>
      <c r="R9" s="42">
        <f t="shared" si="5"/>
        <v>65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59</v>
      </c>
      <c r="R10" s="42">
        <f t="shared" si="5"/>
        <v>65</v>
      </c>
      <c r="S10" s="30">
        <f t="shared" si="6"/>
        <v>0</v>
      </c>
      <c r="T10" s="30">
        <f t="shared" si="7"/>
        <v>0</v>
      </c>
      <c r="U10" s="31" t="str">
        <f t="shared" si="8"/>
        <v>- -</v>
      </c>
    </row>
    <row r="11" spans="2:21" ht="18" customHeight="1">
      <c r="B11" s="32" t="str">
        <f>'Data Entry'!A11</f>
        <v>6. Cases Petitioned (Charge Filed)</v>
      </c>
      <c r="C11" s="33">
        <f>'Data Entry'!C11</f>
        <v>24</v>
      </c>
      <c r="D11" s="34">
        <f>IF(((AND(C68&gt;0,C11&gt;0))),(C11/(C68)),0)</f>
        <v>40.677966101694921</v>
      </c>
      <c r="E11" s="33">
        <f>'Data Entry'!E11</f>
        <v>5</v>
      </c>
      <c r="F11" s="34">
        <f>IF(((AND($E$11&gt;0,$D$68&gt;0))),($E$11/($D$68)),0)</f>
        <v>83.333333333333343</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5</v>
      </c>
      <c r="O11" s="42">
        <f>(D$68*L68)-E11</f>
        <v>1</v>
      </c>
      <c r="P11" s="42">
        <f t="shared" si="4"/>
        <v>24</v>
      </c>
      <c r="Q11" s="42">
        <f>(C$68*L68)-C11</f>
        <v>35</v>
      </c>
      <c r="R11" s="42">
        <f t="shared" si="5"/>
        <v>65</v>
      </c>
      <c r="S11" s="30">
        <f t="shared" si="6"/>
        <v>1482065</v>
      </c>
      <c r="T11" s="30">
        <f t="shared" si="7"/>
        <v>369576</v>
      </c>
      <c r="U11" s="31">
        <f t="shared" si="8"/>
        <v>4.0101765266142824</v>
      </c>
    </row>
    <row r="12" spans="2:21" ht="18" customHeight="1">
      <c r="B12" s="32" t="str">
        <f>'Data Entry'!A12</f>
        <v>7. Cases Resulting in Delinquent Findings</v>
      </c>
      <c r="C12" s="33">
        <f>'Data Entry'!C12</f>
        <v>21</v>
      </c>
      <c r="D12" s="34">
        <f>IF(((AND(C69&gt;0,C12&gt;0))),(C12/(C69)),0)</f>
        <v>87.5</v>
      </c>
      <c r="E12" s="33">
        <f>'Data Entry'!E12</f>
        <v>4</v>
      </c>
      <c r="F12" s="34">
        <f>IF(((AND($D$69&gt;0,$E$12&gt;0))),(E12/(D69)),0)</f>
        <v>80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1</v>
      </c>
      <c r="P12" s="42">
        <f t="shared" si="4"/>
        <v>21</v>
      </c>
      <c r="Q12" s="42">
        <f>(C69*L69)-C12</f>
        <v>3</v>
      </c>
      <c r="R12" s="42">
        <f t="shared" si="5"/>
        <v>29</v>
      </c>
      <c r="S12" s="30">
        <f t="shared" si="6"/>
        <v>2349</v>
      </c>
      <c r="T12" s="30">
        <f t="shared" si="7"/>
        <v>12000</v>
      </c>
      <c r="U12" s="31">
        <f t="shared" si="8"/>
        <v>0.19575000000000001</v>
      </c>
    </row>
    <row r="13" spans="2:21" ht="18" customHeight="1">
      <c r="B13" s="32" t="str">
        <f>'Data Entry'!A13</f>
        <v>8. Cases Resulting in Probation Placement</v>
      </c>
      <c r="C13" s="33">
        <f>'Data Entry'!C13</f>
        <v>38</v>
      </c>
      <c r="D13" s="34">
        <f>IF(((AND(C70&gt;0,C13&gt;0))),(C13/(C70)),0)</f>
        <v>180.95238095238096</v>
      </c>
      <c r="E13" s="33">
        <f>'Data Entry'!E13</f>
        <v>6</v>
      </c>
      <c r="F13" s="34">
        <f>IF(((AND($D$70&gt;0,$E$13&gt;0))),($E$13/($D$70)),0)</f>
        <v>150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-2</v>
      </c>
      <c r="P13" s="42">
        <f t="shared" si="4"/>
        <v>38</v>
      </c>
      <c r="Q13" s="42">
        <f>(C70*L70)-C13</f>
        <v>-17</v>
      </c>
      <c r="R13" s="42">
        <f t="shared" si="5"/>
        <v>25</v>
      </c>
      <c r="S13" s="30">
        <f t="shared" si="6"/>
        <v>16900</v>
      </c>
      <c r="T13" s="30">
        <f t="shared" si="7"/>
        <v>-70224</v>
      </c>
      <c r="U13" s="31">
        <f t="shared" si="8"/>
        <v>-0.24065846434267488</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v>
      </c>
      <c r="P14" s="42">
        <f t="shared" si="4"/>
        <v>0</v>
      </c>
      <c r="Q14" s="42">
        <f>(C70*L70)-C14</f>
        <v>21</v>
      </c>
      <c r="R14" s="42">
        <f t="shared" si="5"/>
        <v>25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24</v>
      </c>
      <c r="R15" s="42">
        <f t="shared" si="5"/>
        <v>29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0.41799999999999998</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0.06</v>
      </c>
      <c r="E44" s="56">
        <f>MAX(C44:D44,0)</f>
        <v>0.59</v>
      </c>
      <c r="G44" s="1" t="str">
        <f>B44</f>
        <v>per 100 referrals</v>
      </c>
      <c r="L44" s="57">
        <v>100</v>
      </c>
      <c r="M44" s="57"/>
      <c r="R44" s="49"/>
    </row>
    <row r="45" spans="2:18" ht="15" hidden="1" customHeight="1">
      <c r="B45" s="49" t="s">
        <v>89</v>
      </c>
      <c r="C45" s="49">
        <f>C11/100</f>
        <v>0.24</v>
      </c>
      <c r="D45" s="49">
        <f>E11/100</f>
        <v>0.05</v>
      </c>
      <c r="E45" s="56">
        <f>MAX(C45:D45,0)</f>
        <v>0.24</v>
      </c>
      <c r="G45" s="1" t="str">
        <f>B45</f>
        <v>per 100 youth petitioned</v>
      </c>
      <c r="L45" s="57">
        <v>100</v>
      </c>
      <c r="M45" s="57"/>
      <c r="R45" s="49"/>
    </row>
    <row r="46" spans="2:18" ht="15" hidden="1" customHeight="1">
      <c r="B46" s="49" t="s">
        <v>90</v>
      </c>
      <c r="C46" s="49">
        <f>C12/100</f>
        <v>0.21</v>
      </c>
      <c r="D46" s="49">
        <f>E12/100</f>
        <v>0.04</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0.41799999999999998</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4.1630000000000003</v>
      </c>
      <c r="D49" s="49">
        <f t="shared" si="9"/>
        <v>0.41799999999999998</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0.06</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0.05</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0.04</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0.41799999999999998</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0.41799999999999998</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0.06</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0.05</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0.04</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0.41799999999999998</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0.41799999999999998</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0.06</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0.05</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0.04</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0.41799999999999998</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0.41799999999999998</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0.06</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0.05</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0.04</v>
      </c>
      <c r="E70" s="56">
        <f>MAX(C70:D70)</f>
        <v>0.21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4163</v>
      </c>
      <c r="R7" s="42">
        <f t="shared" ref="R7:R15" si="5">SUM(N7:Q7)</f>
        <v>4163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59</v>
      </c>
      <c r="D8" s="34">
        <f>IF((AND(C67&gt;0,C8&gt;0)),(C8/C67),0)</f>
        <v>14.172471775162142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59</v>
      </c>
      <c r="Q8" s="42">
        <f>(C$67*L67)-C8</f>
        <v>4104</v>
      </c>
      <c r="R8" s="42">
        <f t="shared" si="5"/>
        <v>4163.05</v>
      </c>
      <c r="S8" s="30">
        <f t="shared" si="6"/>
        <v>36228.942625000003</v>
      </c>
      <c r="T8" s="30">
        <f t="shared" si="7"/>
        <v>50401222.442500003</v>
      </c>
      <c r="U8" s="31">
        <f t="shared" si="8"/>
        <v>7.1881079206623656E-4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59</v>
      </c>
      <c r="R9" s="42">
        <f t="shared" si="5"/>
        <v>59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59</v>
      </c>
      <c r="R10" s="42">
        <f t="shared" si="5"/>
        <v>59</v>
      </c>
      <c r="S10" s="30">
        <f t="shared" si="6"/>
        <v>0</v>
      </c>
      <c r="T10" s="30">
        <f t="shared" si="7"/>
        <v>0</v>
      </c>
      <c r="U10" s="31" t="str">
        <f t="shared" si="8"/>
        <v>- -</v>
      </c>
    </row>
    <row r="11" spans="2:21" ht="18" customHeight="1">
      <c r="B11" s="32" t="str">
        <f>'Data Entry'!A11</f>
        <v>6. Cases Petitioned (Charge Filed)</v>
      </c>
      <c r="C11" s="33">
        <f>'Data Entry'!C11</f>
        <v>24</v>
      </c>
      <c r="D11" s="34">
        <f>IF(((AND(C68&gt;0,C11&gt;0))),(C11/(C68)),0)</f>
        <v>40.677966101694921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35</v>
      </c>
      <c r="R11" s="42">
        <f t="shared" si="5"/>
        <v>59</v>
      </c>
      <c r="S11" s="30">
        <f t="shared" si="6"/>
        <v>0</v>
      </c>
      <c r="T11" s="30">
        <f t="shared" si="7"/>
        <v>0</v>
      </c>
      <c r="U11" s="31" t="str">
        <f t="shared" si="8"/>
        <v>- -</v>
      </c>
    </row>
    <row r="12" spans="2:21" ht="18" customHeight="1">
      <c r="B12" s="32" t="str">
        <f>'Data Entry'!A12</f>
        <v>7. Cases Resulting in Delinquent Findings</v>
      </c>
      <c r="C12" s="33">
        <f>'Data Entry'!C12</f>
        <v>21</v>
      </c>
      <c r="D12" s="34">
        <f>IF(((AND(C69&gt;0,C12&gt;0))),(C12/(C69)),0)</f>
        <v>87.5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180.95238095238096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-17</v>
      </c>
      <c r="R13" s="42">
        <f t="shared" si="5"/>
        <v>21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21</v>
      </c>
      <c r="R14" s="42">
        <f t="shared" si="5"/>
        <v>21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0</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v>
      </c>
      <c r="E44" s="56">
        <f>MAX(C44:D44,0)</f>
        <v>0.59</v>
      </c>
      <c r="G44" s="1" t="str">
        <f>B44</f>
        <v>per 100 referrals</v>
      </c>
      <c r="L44" s="57">
        <v>100</v>
      </c>
      <c r="M44" s="57"/>
      <c r="R44" s="49"/>
    </row>
    <row r="45" spans="2:18" ht="15" hidden="1" customHeight="1">
      <c r="B45" s="49" t="s">
        <v>89</v>
      </c>
      <c r="C45" s="49">
        <f>C11/100</f>
        <v>0.24</v>
      </c>
      <c r="D45" s="49">
        <f>E11/100</f>
        <v>0</v>
      </c>
      <c r="E45" s="56">
        <f>MAX(C45:D45,0)</f>
        <v>0.24</v>
      </c>
      <c r="G45" s="1" t="str">
        <f>B45</f>
        <v>per 100 youth petitioned</v>
      </c>
      <c r="L45" s="57">
        <v>100</v>
      </c>
      <c r="M45" s="57"/>
      <c r="R45" s="49"/>
    </row>
    <row r="46" spans="2:18" ht="15" hidden="1" customHeight="1">
      <c r="B46" s="49" t="s">
        <v>90</v>
      </c>
      <c r="C46" s="49">
        <f>C12/100</f>
        <v>0.21</v>
      </c>
      <c r="D46" s="49">
        <f>E12/100</f>
        <v>0</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0</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4.1630000000000003</v>
      </c>
      <c r="D49" s="49">
        <f t="shared" si="9"/>
        <v>0</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0</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0</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0</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0</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0</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0</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4163</v>
      </c>
      <c r="D6" s="34"/>
      <c r="E6" s="33">
        <f>'Data Entry'!H6</f>
        <v>68</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68</v>
      </c>
      <c r="P7" s="42">
        <f t="shared" ref="P7:P15" si="4">C7</f>
        <v>0</v>
      </c>
      <c r="Q7" s="42">
        <f>C6-C7</f>
        <v>4163</v>
      </c>
      <c r="R7" s="42">
        <f t="shared" ref="R7:R15" si="5">SUM(N7:Q7)</f>
        <v>4231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59</v>
      </c>
      <c r="D8" s="34">
        <f>IF((AND(C67&gt;0,C8&gt;0)),(C8/C67),0)</f>
        <v>14.172471775162142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68.05</v>
      </c>
      <c r="P8" s="42">
        <f t="shared" si="4"/>
        <v>59</v>
      </c>
      <c r="Q8" s="42">
        <f>(C$67*L67)-C8</f>
        <v>4104</v>
      </c>
      <c r="R8" s="42">
        <f t="shared" si="5"/>
        <v>4231.05</v>
      </c>
      <c r="S8" s="30">
        <f t="shared" si="6"/>
        <v>68203779230.252617</v>
      </c>
      <c r="T8" s="30">
        <f t="shared" si="7"/>
        <v>69732631850.042496</v>
      </c>
      <c r="U8" s="31">
        <f t="shared" si="8"/>
        <v>0.97807550669996768</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59</v>
      </c>
      <c r="R9" s="42">
        <f t="shared" si="5"/>
        <v>59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59</v>
      </c>
      <c r="R10" s="42">
        <f t="shared" si="5"/>
        <v>59</v>
      </c>
      <c r="S10" s="30">
        <f t="shared" si="6"/>
        <v>0</v>
      </c>
      <c r="T10" s="30">
        <f t="shared" si="7"/>
        <v>0</v>
      </c>
      <c r="U10" s="31" t="str">
        <f t="shared" si="8"/>
        <v>- -</v>
      </c>
    </row>
    <row r="11" spans="2:21" ht="18" customHeight="1">
      <c r="B11" s="32" t="str">
        <f>'Data Entry'!A11</f>
        <v>6. Cases Petitioned (Charge Filed)</v>
      </c>
      <c r="C11" s="33">
        <f>'Data Entry'!C11</f>
        <v>24</v>
      </c>
      <c r="D11" s="34">
        <f>IF(((AND(C68&gt;0,C11&gt;0))),(C11/(C68)),0)</f>
        <v>40.677966101694921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24</v>
      </c>
      <c r="Q11" s="42">
        <f>(C$68*L68)-C11</f>
        <v>35</v>
      </c>
      <c r="R11" s="42">
        <f t="shared" si="5"/>
        <v>59</v>
      </c>
      <c r="S11" s="30">
        <f t="shared" si="6"/>
        <v>0</v>
      </c>
      <c r="T11" s="30">
        <f t="shared" si="7"/>
        <v>0</v>
      </c>
      <c r="U11" s="31" t="str">
        <f t="shared" si="8"/>
        <v>- -</v>
      </c>
    </row>
    <row r="12" spans="2:21" ht="18" customHeight="1">
      <c r="B12" s="32" t="str">
        <f>'Data Entry'!A12</f>
        <v>7. Cases Resulting in Delinquent Findings</v>
      </c>
      <c r="C12" s="33">
        <f>'Data Entry'!C12</f>
        <v>21</v>
      </c>
      <c r="D12" s="34">
        <f>IF(((AND(C69&gt;0,C12&gt;0))),(C12/(C69)),0)</f>
        <v>87.5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3</v>
      </c>
      <c r="R12" s="42">
        <f t="shared" si="5"/>
        <v>24</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180.95238095238096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-17</v>
      </c>
      <c r="R13" s="42">
        <f t="shared" si="5"/>
        <v>21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21</v>
      </c>
      <c r="R14" s="42">
        <f t="shared" si="5"/>
        <v>21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24</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4.1630000000000003</v>
      </c>
      <c r="D42" s="56">
        <f>E6/1000</f>
        <v>6.8000000000000005E-2</v>
      </c>
      <c r="E42" s="56">
        <f>MAX(C42:D42)</f>
        <v>4.1630000000000003</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0.59</v>
      </c>
      <c r="D44" s="56">
        <f>E8/100</f>
        <v>0</v>
      </c>
      <c r="E44" s="56">
        <f>MAX(C44:D44,0)</f>
        <v>0.59</v>
      </c>
      <c r="G44" s="1" t="str">
        <f>B44</f>
        <v>per 100 referrals</v>
      </c>
      <c r="L44" s="57">
        <v>100</v>
      </c>
      <c r="M44" s="57"/>
      <c r="R44" s="49"/>
    </row>
    <row r="45" spans="2:18" ht="15" hidden="1" customHeight="1">
      <c r="B45" s="49" t="s">
        <v>89</v>
      </c>
      <c r="C45" s="49">
        <f>C11/100</f>
        <v>0.24</v>
      </c>
      <c r="D45" s="49">
        <f>E11/100</f>
        <v>0</v>
      </c>
      <c r="E45" s="56">
        <f>MAX(C45:D45,0)</f>
        <v>0.24</v>
      </c>
      <c r="G45" s="1" t="str">
        <f>B45</f>
        <v>per 100 youth petitioned</v>
      </c>
      <c r="L45" s="57">
        <v>100</v>
      </c>
      <c r="M45" s="57"/>
      <c r="R45" s="49"/>
    </row>
    <row r="46" spans="2:18" ht="15" hidden="1" customHeight="1">
      <c r="B46" s="49" t="s">
        <v>90</v>
      </c>
      <c r="C46" s="49">
        <f>C12/100</f>
        <v>0.21</v>
      </c>
      <c r="D46" s="49">
        <f>E12/100</f>
        <v>0</v>
      </c>
      <c r="E46" s="56">
        <f>MAX(C46:D46)</f>
        <v>0.21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4.1630000000000003</v>
      </c>
      <c r="D48" s="56">
        <f>D42</f>
        <v>6.8000000000000005E-2</v>
      </c>
      <c r="E48" s="56">
        <f>MAX(C48:D48)</f>
        <v>4.1630000000000003</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4.1630000000000003</v>
      </c>
      <c r="D49" s="49">
        <f t="shared" si="9"/>
        <v>6.8000000000000005E-2</v>
      </c>
      <c r="E49" s="49">
        <f>MAX(C49:D49)</f>
        <v>4.1630000000000003</v>
      </c>
      <c r="G49" s="1" t="str">
        <f>G43</f>
        <v>per 100 arrests</v>
      </c>
      <c r="L49" s="58">
        <f>IF(($E43&gt;0),L43,L42)</f>
        <v>1000</v>
      </c>
      <c r="M49" s="58"/>
      <c r="N49" s="21"/>
      <c r="O49" s="21"/>
      <c r="P49" s="21"/>
      <c r="Q49" s="21"/>
      <c r="R49" s="21"/>
    </row>
    <row r="50" spans="2:18" ht="15" hidden="1" customHeight="1">
      <c r="B50" s="49" t="str">
        <f t="shared" si="9"/>
        <v>per 100 referrals</v>
      </c>
      <c r="C50" s="49">
        <f t="shared" si="9"/>
        <v>0.59</v>
      </c>
      <c r="D50" s="49">
        <f t="shared" si="9"/>
        <v>0</v>
      </c>
      <c r="E50" s="49">
        <f>MAX(C50:D50)</f>
        <v>0.59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0.24</v>
      </c>
      <c r="D51" s="49">
        <f>IF(($E45&gt;0),D45,D44)</f>
        <v>0</v>
      </c>
      <c r="E51" s="49">
        <f>MAX(C51:D51)</f>
        <v>0.24</v>
      </c>
      <c r="G51" s="1" t="str">
        <f>G45</f>
        <v>per 100 youth petitioned</v>
      </c>
      <c r="L51" s="58">
        <f>IF(($E45&gt;0),L45,L44)</f>
        <v>100</v>
      </c>
      <c r="M51" s="58"/>
    </row>
    <row r="52" spans="2:18" ht="15" hidden="1" customHeight="1">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4.1630000000000003</v>
      </c>
      <c r="D54" s="56">
        <f>D48</f>
        <v>6.8000000000000005E-2</v>
      </c>
      <c r="E54" s="56">
        <f>MAX(C54:D54)</f>
        <v>4.1630000000000003</v>
      </c>
      <c r="G54" s="1" t="str">
        <f>G48</f>
        <v>per 1000 youth</v>
      </c>
      <c r="L54" s="58">
        <f>L48</f>
        <v>1000</v>
      </c>
      <c r="M54" s="58"/>
    </row>
    <row r="55" spans="2:18" ht="15" hidden="1" customHeight="1">
      <c r="B55" s="49" t="str">
        <f t="shared" ref="B55:D56" si="10">IF(($E49&gt;0),B49,B48)</f>
        <v>per 1000 youth</v>
      </c>
      <c r="C55" s="49">
        <f t="shared" si="10"/>
        <v>4.1630000000000003</v>
      </c>
      <c r="D55" s="49">
        <f t="shared" si="10"/>
        <v>6.8000000000000005E-2</v>
      </c>
      <c r="E55" s="49">
        <f>MAX(C55:D55)</f>
        <v>4.1630000000000003</v>
      </c>
      <c r="G55" s="1" t="str">
        <f>G49</f>
        <v>per 100 arrests</v>
      </c>
      <c r="L55" s="58">
        <f>IF(($E49&gt;0),L49,L48)</f>
        <v>1000</v>
      </c>
      <c r="M55" s="58"/>
    </row>
    <row r="56" spans="2:18" ht="15" hidden="1" customHeight="1">
      <c r="B56" s="49" t="str">
        <f t="shared" si="10"/>
        <v>per 100 referrals</v>
      </c>
      <c r="C56" s="49">
        <f t="shared" si="10"/>
        <v>0.59</v>
      </c>
      <c r="D56" s="49">
        <f t="shared" si="10"/>
        <v>0</v>
      </c>
      <c r="E56" s="49">
        <f>MAX(C56:D56)</f>
        <v>0.59</v>
      </c>
      <c r="G56" s="1" t="str">
        <f>G50</f>
        <v>per 100 referrals</v>
      </c>
      <c r="L56" s="58">
        <f>IF(($E50&gt;0),L50,L49)</f>
        <v>100</v>
      </c>
      <c r="M56" s="58"/>
    </row>
    <row r="57" spans="2:18" ht="15" hidden="1" customHeight="1">
      <c r="B57" s="49" t="str">
        <f>IF(($E51&gt;0),B51,B49)</f>
        <v>per 100 youth petitioned</v>
      </c>
      <c r="C57" s="49">
        <f>IF(($E51&gt;0),C51,C50)</f>
        <v>0.24</v>
      </c>
      <c r="D57" s="49">
        <f>IF(($E51&gt;0),D51,D50)</f>
        <v>0</v>
      </c>
      <c r="E57" s="49">
        <f>MAX(C57:D57)</f>
        <v>0.24</v>
      </c>
      <c r="G57" s="1" t="str">
        <f>G51</f>
        <v>per 100 youth petitioned</v>
      </c>
      <c r="L57" s="58">
        <f>IF(($E51&gt;0),L51,L50)</f>
        <v>100</v>
      </c>
      <c r="M57" s="58"/>
    </row>
    <row r="58" spans="2:18" ht="15" hidden="1" customHeight="1">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4.1630000000000003</v>
      </c>
      <c r="D60" s="56">
        <f>D54</f>
        <v>6.8000000000000005E-2</v>
      </c>
      <c r="E60" s="56">
        <f>MAX(C60:D60)</f>
        <v>4.1630000000000003</v>
      </c>
      <c r="G60" s="1" t="str">
        <f>G54</f>
        <v>per 1000 youth</v>
      </c>
      <c r="L60" s="58">
        <f>L54</f>
        <v>1000</v>
      </c>
      <c r="M60" s="58"/>
    </row>
    <row r="61" spans="2:18" ht="15" hidden="1" customHeight="1">
      <c r="B61" s="49" t="str">
        <f t="shared" ref="B61:D62" si="11">IF(($E55&gt;0),B55,B54)</f>
        <v>per 1000 youth</v>
      </c>
      <c r="C61" s="49">
        <f t="shared" si="11"/>
        <v>4.1630000000000003</v>
      </c>
      <c r="D61" s="49">
        <f t="shared" si="11"/>
        <v>6.8000000000000005E-2</v>
      </c>
      <c r="E61" s="49">
        <f>MAX(C61:D61)</f>
        <v>4.1630000000000003</v>
      </c>
      <c r="G61" s="1" t="str">
        <f>G55</f>
        <v>per 100 arrests</v>
      </c>
      <c r="L61" s="58">
        <f>IF(($E55&gt;0),L55,L54)</f>
        <v>1000</v>
      </c>
      <c r="M61" s="58"/>
    </row>
    <row r="62" spans="2:18" ht="15" hidden="1" customHeight="1">
      <c r="B62" s="49" t="str">
        <f t="shared" si="11"/>
        <v>per 100 referrals</v>
      </c>
      <c r="C62" s="49">
        <f t="shared" si="11"/>
        <v>0.59</v>
      </c>
      <c r="D62" s="49">
        <f t="shared" si="11"/>
        <v>0</v>
      </c>
      <c r="E62" s="49">
        <f>MAX(C62:D62)</f>
        <v>0.59</v>
      </c>
      <c r="G62" s="1" t="str">
        <f>G56</f>
        <v>per 100 referrals</v>
      </c>
      <c r="L62" s="58">
        <f>IF(($E56&gt;0),L56,L55)</f>
        <v>100</v>
      </c>
      <c r="M62" s="58"/>
    </row>
    <row r="63" spans="2:18" ht="15" hidden="1" customHeight="1">
      <c r="B63" s="49" t="str">
        <f>IF(($E57&gt;0),B57,B55)</f>
        <v>per 100 youth petitioned</v>
      </c>
      <c r="C63" s="49">
        <f>IF(($E57&gt;0),C57,C56)</f>
        <v>0.24</v>
      </c>
      <c r="D63" s="49">
        <f>IF(($E57&gt;0),D57,D56)</f>
        <v>0</v>
      </c>
      <c r="E63" s="49">
        <f>MAX(C63:D63)</f>
        <v>0.24</v>
      </c>
      <c r="G63" s="1" t="str">
        <f>G57</f>
        <v>per 100 youth petitioned</v>
      </c>
      <c r="L63" s="58">
        <f>IF(($E57&gt;0),L57,L56)</f>
        <v>100</v>
      </c>
      <c r="M63" s="58"/>
    </row>
    <row r="64" spans="2:18" ht="15" hidden="1" customHeight="1">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4.1630000000000003</v>
      </c>
      <c r="D66" s="56">
        <f>D60</f>
        <v>6.8000000000000005E-2</v>
      </c>
      <c r="E66" s="56">
        <f>MAX(C66:D66)</f>
        <v>4.1630000000000003</v>
      </c>
      <c r="G66" s="1" t="str">
        <f>G60</f>
        <v>per 1000 youth</v>
      </c>
      <c r="L66" s="58">
        <f>L60</f>
        <v>1000</v>
      </c>
      <c r="M66" s="58">
        <f>IF((B66=G66),1,2)</f>
        <v>1</v>
      </c>
    </row>
    <row r="67" spans="2:13" ht="15" hidden="1" customHeight="1">
      <c r="B67" s="49" t="str">
        <f t="shared" ref="B67:D68" si="12">IF(($E61&gt;0),B61,B60)</f>
        <v>per 1000 youth</v>
      </c>
      <c r="C67" s="49">
        <f t="shared" si="12"/>
        <v>4.1630000000000003</v>
      </c>
      <c r="D67" s="49">
        <f t="shared" si="12"/>
        <v>6.8000000000000005E-2</v>
      </c>
      <c r="E67" s="49">
        <f>MAX(C67:D67)</f>
        <v>4.1630000000000003</v>
      </c>
      <c r="G67" s="1" t="str">
        <f>G61</f>
        <v>per 100 arrests</v>
      </c>
      <c r="L67" s="58">
        <f>IF(($E61&gt;0),L61,L60)</f>
        <v>1000</v>
      </c>
      <c r="M67" s="58">
        <f>IF((B67=G67),1,2)</f>
        <v>2</v>
      </c>
    </row>
    <row r="68" spans="2:13" ht="15" hidden="1" customHeight="1">
      <c r="B68" s="49" t="str">
        <f t="shared" si="12"/>
        <v>per 100 referrals</v>
      </c>
      <c r="C68" s="49">
        <f t="shared" si="12"/>
        <v>0.59</v>
      </c>
      <c r="D68" s="49">
        <f t="shared" si="12"/>
        <v>0</v>
      </c>
      <c r="E68" s="49">
        <f>MAX(C68:D68)</f>
        <v>0.59</v>
      </c>
      <c r="G68" s="1" t="str">
        <f>G62</f>
        <v>per 100 referrals</v>
      </c>
      <c r="L68" s="58">
        <f>IF(($E62&gt;0),L62,L61)</f>
        <v>100</v>
      </c>
      <c r="M68" s="58">
        <f>IF((B68=G68),1,2)</f>
        <v>1</v>
      </c>
    </row>
    <row r="69" spans="2:13" ht="15" hidden="1" customHeight="1">
      <c r="B69" s="49" t="str">
        <f>IF(($E63&gt;0),B63,B61)</f>
        <v>per 100 youth petitioned</v>
      </c>
      <c r="C69" s="49">
        <f>IF(($E63&gt;0),C63,C62)</f>
        <v>0.24</v>
      </c>
      <c r="D69" s="49">
        <f>IF(($E63&gt;0),D63,D62)</f>
        <v>0</v>
      </c>
      <c r="E69" s="49">
        <f>MAX(C69:D69)</f>
        <v>0.24</v>
      </c>
      <c r="G69" s="1" t="str">
        <f>G63</f>
        <v>per 100 youth petitioned</v>
      </c>
      <c r="L69" s="58">
        <f>IF(($E63&gt;0),L63,L62)</f>
        <v>100</v>
      </c>
      <c r="M69" s="58">
        <f>IF((B69=G69),1,2)</f>
        <v>1</v>
      </c>
    </row>
    <row r="70" spans="2:13" ht="15" hidden="1" customHeight="1">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U47JMPN4QEAR-1806752177-35332</_dlc_DocId>
    <_dlc_DocIdUrl xmlns="ac3811b5-0f3e-49e2-ba69-f2ffa0c782af">
      <Url>https://michiganphi.sharepoint.com/sites/CMDMC/_layouts/15/DocIdRedir.aspx?ID=U47JMPN4QEAR-1806752177-35332</Url>
      <Description>U47JMPN4QEAR-1806752177-35332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CCD0BD-C8D2-4CE4-A0FF-3A6C07BE1B76}">
  <ds:schemaRefs>
    <ds:schemaRef ds:uri="http://schemas.microsoft.com/sharepoint/v3/contenttype/forms"/>
  </ds:schemaRefs>
</ds:datastoreItem>
</file>

<file path=customXml/itemProps2.xml><?xml version="1.0" encoding="utf-8"?>
<ds:datastoreItem xmlns:ds="http://schemas.openxmlformats.org/officeDocument/2006/customXml" ds:itemID="{C136EB1E-22C8-496C-809D-42D9032445DF}"/>
</file>

<file path=customXml/itemProps3.xml><?xml version="1.0" encoding="utf-8"?>
<ds:datastoreItem xmlns:ds="http://schemas.openxmlformats.org/officeDocument/2006/customXml" ds:itemID="{F09B91A0-DAB2-410A-B2D7-813B0B59E1C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30881AEA-38CD-4230-B58C-5A9B15CAB5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3a653129-fca8-42cd-bb38-31c9345ae694</vt:lpwstr>
  </property>
</Properties>
</file>