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24" documentId="8_{947183BE-1B0F-4D15-8C34-8E9BC14C0B54}" xr6:coauthVersionLast="47" xr6:coauthVersionMax="47" xr10:uidLastSave="{14546D78-5E2A-47CF-AEC3-33B51C185EA0}"/>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L54" i="5"/>
  <c r="L60" i="5" s="1"/>
  <c r="L66" i="5" s="1"/>
  <c r="G58" i="5"/>
  <c r="G64" i="5" s="1"/>
  <c r="G70"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F27" i="4"/>
  <c r="M66" i="4"/>
  <c r="F27" i="2"/>
  <c r="M66" i="2"/>
  <c r="F27" i="5"/>
  <c r="M66" i="5"/>
  <c r="M66" i="7"/>
  <c r="F27" i="7"/>
  <c r="M66" i="6"/>
  <c r="F27" i="6"/>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D52" i="3" s="1"/>
  <c r="E43" i="7"/>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B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52" i="3"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L64" i="3"/>
  <c r="C64" i="5"/>
  <c r="L64" i="5"/>
  <c r="L56" i="8"/>
  <c r="E58" i="8"/>
  <c r="L64" i="8" s="1"/>
  <c r="B56"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D64" i="8"/>
  <c r="B64" i="8"/>
  <c r="C63" i="3"/>
  <c r="C64" i="8"/>
  <c r="E57" i="8"/>
  <c r="B63" i="8" s="1"/>
  <c r="Q8" i="13"/>
  <c r="I7" i="9"/>
  <c r="B63" i="3"/>
  <c r="E64" i="6"/>
  <c r="B70" i="6" s="1"/>
  <c r="M70" i="6" s="1"/>
  <c r="Z8" i="13"/>
  <c r="R7" i="9"/>
  <c r="D63" i="3"/>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C70" i="5" s="1"/>
  <c r="B63" i="5"/>
  <c r="B70" i="5" s="1"/>
  <c r="F33" i="5" s="1"/>
  <c r="L63" i="5"/>
  <c r="F8" i="5"/>
  <c r="E64" i="8" l="1"/>
  <c r="L70" i="5"/>
  <c r="Q13" i="5" s="1"/>
  <c r="D70" i="5"/>
  <c r="F14" i="5" s="1"/>
  <c r="L70" i="3"/>
  <c r="Q13" i="3" s="1"/>
  <c r="B70" i="3"/>
  <c r="M70" i="3" s="1"/>
  <c r="L70" i="6"/>
  <c r="E63" i="3"/>
  <c r="C69" i="3" s="1"/>
  <c r="D12" i="3" s="1"/>
  <c r="C69" i="7"/>
  <c r="D12" i="7" s="1"/>
  <c r="D63" i="8"/>
  <c r="D70" i="8" s="1"/>
  <c r="F13" i="8" s="1"/>
  <c r="D70" i="6"/>
  <c r="F13" i="6" s="1"/>
  <c r="C63" i="8"/>
  <c r="L63" i="8"/>
  <c r="L70" i="8" s="1"/>
  <c r="L69" i="7"/>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14" i="6"/>
  <c r="F31" i="4"/>
  <c r="O9" i="4"/>
  <c r="M68" i="4"/>
  <c r="E70" i="4"/>
  <c r="F29" i="4"/>
  <c r="F13" i="4"/>
  <c r="F33" i="4"/>
  <c r="F10" i="4"/>
  <c r="O10" i="4"/>
  <c r="M67" i="5"/>
  <c r="O11" i="3"/>
  <c r="T11" i="3" s="1"/>
  <c r="O14" i="4"/>
  <c r="Q13" i="4"/>
  <c r="F30" i="3"/>
  <c r="D13" i="3"/>
  <c r="Q9" i="3"/>
  <c r="O10" i="3"/>
  <c r="E68" i="3"/>
  <c r="O9" i="3"/>
  <c r="F31" i="3"/>
  <c r="F29" i="3"/>
  <c r="D14" i="4"/>
  <c r="L70" i="7"/>
  <c r="O14" i="7" s="1"/>
  <c r="M69" i="7"/>
  <c r="C70" i="8"/>
  <c r="B70" i="8"/>
  <c r="M70" i="8" s="1"/>
  <c r="E64" i="2"/>
  <c r="L70" i="2" s="1"/>
  <c r="L67" i="6"/>
  <c r="F10" i="3"/>
  <c r="F11" i="3"/>
  <c r="D67" i="6"/>
  <c r="F8" i="6" s="1"/>
  <c r="M70" i="5"/>
  <c r="D13" i="5"/>
  <c r="Q14" i="5"/>
  <c r="D14" i="5"/>
  <c r="F35" i="7"/>
  <c r="Q14" i="3"/>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5" i="3" l="1"/>
  <c r="O13" i="6"/>
  <c r="O14" i="5"/>
  <c r="E70" i="5"/>
  <c r="F34" i="3"/>
  <c r="O13" i="5"/>
  <c r="R13" i="5" s="1"/>
  <c r="S13" i="5" s="1"/>
  <c r="U13" i="5" s="1"/>
  <c r="J13" i="5" s="1"/>
  <c r="M13" i="5" s="1"/>
  <c r="F13" i="5"/>
  <c r="D69" i="3"/>
  <c r="E69" i="3" s="1"/>
  <c r="B69" i="6"/>
  <c r="M69" i="6" s="1"/>
  <c r="F33" i="3"/>
  <c r="L69" i="3"/>
  <c r="Q12" i="3" s="1"/>
  <c r="Q13" i="8"/>
  <c r="E70" i="3"/>
  <c r="E69" i="7"/>
  <c r="Q15" i="7"/>
  <c r="D15" i="7"/>
  <c r="B69" i="3"/>
  <c r="M69" i="3" s="1"/>
  <c r="O13" i="3"/>
  <c r="K13" i="3" s="1"/>
  <c r="F14" i="3"/>
  <c r="Q12" i="7"/>
  <c r="E63" i="8"/>
  <c r="D69" i="8" s="1"/>
  <c r="F12" i="8" s="1"/>
  <c r="O12" i="7"/>
  <c r="O15" i="7"/>
  <c r="Q13" i="6"/>
  <c r="K13" i="6" s="1"/>
  <c r="Q14" i="6"/>
  <c r="E70" i="6"/>
  <c r="O14" i="6"/>
  <c r="D14" i="6"/>
  <c r="C69" i="6"/>
  <c r="D12" i="6" s="1"/>
  <c r="F12" i="7"/>
  <c r="O14" i="3"/>
  <c r="R14" i="3" s="1"/>
  <c r="S14" i="3" s="1"/>
  <c r="U14" i="3" s="1"/>
  <c r="J14" i="3" s="1"/>
  <c r="M14" i="3" s="1"/>
  <c r="G14" i="3" s="1"/>
  <c r="I15" i="16" s="1"/>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3" i="5" l="1"/>
  <c r="K13" i="5"/>
  <c r="F15" i="3"/>
  <c r="F12" i="3"/>
  <c r="R13" i="8"/>
  <c r="S13" i="8" s="1"/>
  <c r="F35" i="6"/>
  <c r="T13" i="3"/>
  <c r="F32" i="3"/>
  <c r="Q15" i="6"/>
  <c r="Q12" i="6"/>
  <c r="F32" i="6"/>
  <c r="R13" i="3"/>
  <c r="S13" i="3" s="1"/>
  <c r="U13" i="3" s="1"/>
  <c r="J13" i="3" s="1"/>
  <c r="M13" i="3" s="1"/>
  <c r="G13" i="3" s="1"/>
  <c r="B69" i="8"/>
  <c r="M69" i="8" s="1"/>
  <c r="L69" i="8"/>
  <c r="O15" i="8" s="1"/>
  <c r="R14" i="8"/>
  <c r="S14" i="8" s="1"/>
  <c r="O15" i="6"/>
  <c r="F15" i="8"/>
  <c r="C69" i="8"/>
  <c r="T14" i="6"/>
  <c r="Q15" i="3"/>
  <c r="O12" i="3"/>
  <c r="R12" i="3" s="1"/>
  <c r="S12" i="3" s="1"/>
  <c r="U12" i="3" s="1"/>
  <c r="J12" i="3" s="1"/>
  <c r="F35" i="3"/>
  <c r="O15" i="3"/>
  <c r="R15" i="7"/>
  <c r="S15" i="7" s="1"/>
  <c r="U15" i="7" s="1"/>
  <c r="J15" i="7" s="1"/>
  <c r="M15" i="7" s="1"/>
  <c r="K14" i="3"/>
  <c r="L14" i="3" s="1"/>
  <c r="P15" i="16" s="1"/>
  <c r="K14" i="6"/>
  <c r="R14" i="6"/>
  <c r="S14" i="6" s="1"/>
  <c r="U14" i="6" s="1"/>
  <c r="J14" i="6" s="1"/>
  <c r="M14" i="6" s="1"/>
  <c r="G14" i="6" s="1"/>
  <c r="M15" i="13" s="1"/>
  <c r="R12" i="7"/>
  <c r="S12" i="7" s="1"/>
  <c r="T13" i="6"/>
  <c r="T12" i="7"/>
  <c r="T14" i="3"/>
  <c r="K12" i="7"/>
  <c r="R13" i="6"/>
  <c r="S13" i="6" s="1"/>
  <c r="U13" i="6" s="1"/>
  <c r="J13" i="6" s="1"/>
  <c r="M13" i="6" s="1"/>
  <c r="G13" i="6" s="1"/>
  <c r="M14" i="13" s="1"/>
  <c r="U10" i="4"/>
  <c r="J10" i="4" s="1"/>
  <c r="M10" i="4" s="1"/>
  <c r="G10" i="4" s="1"/>
  <c r="G11" i="16" s="1"/>
  <c r="K15" i="7"/>
  <c r="T15" i="7"/>
  <c r="O12" i="6"/>
  <c r="T13" i="8"/>
  <c r="E69" i="6"/>
  <c r="D15" i="6"/>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K13" i="7"/>
  <c r="T8" i="2"/>
  <c r="U8" i="2" s="1"/>
  <c r="J8" i="2" s="1"/>
  <c r="M11" i="4"/>
  <c r="G11" i="4" s="1"/>
  <c r="T14" i="7"/>
  <c r="U14" i="7" s="1"/>
  <c r="J14" i="7" s="1"/>
  <c r="K14" i="7"/>
  <c r="N30" i="3"/>
  <c r="E10" i="9"/>
  <c r="I11" i="13"/>
  <c r="D9" i="9"/>
  <c r="G10"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3" i="8" l="1"/>
  <c r="J13" i="8" s="1"/>
  <c r="M13" i="8" s="1"/>
  <c r="U12" i="7"/>
  <c r="J12" i="7" s="1"/>
  <c r="M12" i="7" s="1"/>
  <c r="O12" i="8"/>
  <c r="K15" i="6"/>
  <c r="L13" i="3"/>
  <c r="P14" i="16" s="1"/>
  <c r="K12" i="3"/>
  <c r="L12" i="3" s="1"/>
  <c r="P13" i="16" s="1"/>
  <c r="T12" i="3"/>
  <c r="K12" i="6"/>
  <c r="F35" i="8"/>
  <c r="F32" i="8"/>
  <c r="U14" i="8"/>
  <c r="J14" i="8" s="1"/>
  <c r="N30" i="8" s="1"/>
  <c r="Q12" i="8"/>
  <c r="K15" i="3"/>
  <c r="T15" i="6"/>
  <c r="R15" i="6"/>
  <c r="S15" i="6" s="1"/>
  <c r="U15" i="6" s="1"/>
  <c r="J15" i="6" s="1"/>
  <c r="Q15" i="8"/>
  <c r="R15" i="8" s="1"/>
  <c r="S15" i="8" s="1"/>
  <c r="U15" i="8" s="1"/>
  <c r="J15" i="8" s="1"/>
  <c r="D12" i="8"/>
  <c r="G13" i="8"/>
  <c r="Q14" i="13" s="1"/>
  <c r="E69" i="8"/>
  <c r="D15" i="8"/>
  <c r="L15" i="7"/>
  <c r="S16" i="16" s="1"/>
  <c r="R15" i="3"/>
  <c r="S15" i="3" s="1"/>
  <c r="U15" i="3" s="1"/>
  <c r="J15" i="3" s="1"/>
  <c r="M15" i="3" s="1"/>
  <c r="G15" i="3" s="1"/>
  <c r="I16" i="16" s="1"/>
  <c r="L10" i="4"/>
  <c r="O11" i="16" s="1"/>
  <c r="D10" i="9"/>
  <c r="T15" i="3"/>
  <c r="T12" i="6"/>
  <c r="G13" i="9"/>
  <c r="L13" i="8"/>
  <c r="T14" i="16" s="1"/>
  <c r="L13" i="6"/>
  <c r="R14" i="16" s="1"/>
  <c r="R12" i="6"/>
  <c r="S12" i="6" s="1"/>
  <c r="U12" i="6" s="1"/>
  <c r="J12" i="6" s="1"/>
  <c r="M12" i="6" s="1"/>
  <c r="G12" i="6" s="1"/>
  <c r="G11" i="13"/>
  <c r="M13" i="9"/>
  <c r="U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D13" i="9"/>
  <c r="G14" i="13"/>
  <c r="K9" i="7"/>
  <c r="T14" i="2"/>
  <c r="V12" i="13"/>
  <c r="U10" i="13"/>
  <c r="N11" i="9"/>
  <c r="T15" i="5"/>
  <c r="W14" i="13"/>
  <c r="N13" i="9"/>
  <c r="N14" i="9"/>
  <c r="L13" i="7"/>
  <c r="S14" i="16" s="1"/>
  <c r="M9" i="3"/>
  <c r="G9" i="3" s="1"/>
  <c r="I10" i="13" s="1"/>
  <c r="I14" i="13"/>
  <c r="I14" i="16"/>
  <c r="G12" i="13"/>
  <c r="G12" i="16"/>
  <c r="N9" i="9"/>
  <c r="P10" i="16"/>
  <c r="M14" i="7"/>
  <c r="N30" i="7"/>
  <c r="L14" i="7"/>
  <c r="S15" i="16" s="1"/>
  <c r="L8" i="7"/>
  <c r="S9" i="16" s="1"/>
  <c r="O13" i="9"/>
  <c r="V14" i="13"/>
  <c r="M9" i="9"/>
  <c r="O14" i="9"/>
  <c r="V10" i="13"/>
  <c r="V15" i="13"/>
  <c r="W15" i="13"/>
  <c r="U12" i="2"/>
  <c r="J12" i="2" s="1"/>
  <c r="L12" i="2" s="1"/>
  <c r="N13" i="16" s="1"/>
  <c r="D11" i="9"/>
  <c r="E13"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L12" i="7" l="1"/>
  <c r="S13" i="16" s="1"/>
  <c r="U11" i="7"/>
  <c r="J11" i="7" s="1"/>
  <c r="K12" i="8"/>
  <c r="L15" i="6"/>
  <c r="R16" i="16" s="1"/>
  <c r="M15" i="6"/>
  <c r="G15" i="6" s="1"/>
  <c r="G15" i="9" s="1"/>
  <c r="M14" i="8"/>
  <c r="G14" i="8" s="1"/>
  <c r="K15" i="16" s="1"/>
  <c r="L14" i="8"/>
  <c r="T15" i="16" s="1"/>
  <c r="Q15" i="9"/>
  <c r="T12" i="8"/>
  <c r="R12" i="8"/>
  <c r="S12" i="8" s="1"/>
  <c r="L15" i="3"/>
  <c r="P16" i="16" s="1"/>
  <c r="Y13" i="13"/>
  <c r="T15" i="8"/>
  <c r="K15" i="8"/>
  <c r="L15" i="8" s="1"/>
  <c r="T16" i="16" s="1"/>
  <c r="Y16" i="13"/>
  <c r="Q12" i="9"/>
  <c r="U11" i="13"/>
  <c r="M10" i="9"/>
  <c r="E15" i="9"/>
  <c r="K14" i="16"/>
  <c r="I13" i="9"/>
  <c r="I16" i="13"/>
  <c r="U14" i="2"/>
  <c r="J14" i="2" s="1"/>
  <c r="M14" i="2" s="1"/>
  <c r="G14" i="2" s="1"/>
  <c r="E15" i="16" s="1"/>
  <c r="R13" i="9"/>
  <c r="Z14" i="13"/>
  <c r="P13" i="9"/>
  <c r="U13" i="2"/>
  <c r="J13" i="2" s="1"/>
  <c r="M13" i="2" s="1"/>
  <c r="G13" i="2" s="1"/>
  <c r="E14" i="16" s="1"/>
  <c r="L12" i="6"/>
  <c r="R13" i="16" s="1"/>
  <c r="X14" i="13"/>
  <c r="U10" i="7"/>
  <c r="J10" i="7" s="1"/>
  <c r="L10" i="7" s="1"/>
  <c r="S11" i="16" s="1"/>
  <c r="L8" i="6"/>
  <c r="R9" i="16" s="1"/>
  <c r="X16" i="13"/>
  <c r="L15" i="5"/>
  <c r="Q16" i="16" s="1"/>
  <c r="T9" i="13"/>
  <c r="L8" i="9"/>
  <c r="X15" i="13"/>
  <c r="P14" i="9"/>
  <c r="G8" i="9"/>
  <c r="Q14" i="9"/>
  <c r="Y15" i="13"/>
  <c r="Y14" i="13"/>
  <c r="E9" i="13"/>
  <c r="Q13" i="9"/>
  <c r="L10" i="2"/>
  <c r="N11" i="16" s="1"/>
  <c r="L11" i="6"/>
  <c r="R12" i="16" s="1"/>
  <c r="I10" i="16"/>
  <c r="C8" i="9"/>
  <c r="E9" i="9"/>
  <c r="G12" i="9"/>
  <c r="M13" i="13"/>
  <c r="G11" i="9"/>
  <c r="M12" i="13"/>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R14" i="9" l="1"/>
  <c r="P15" i="9"/>
  <c r="U12" i="8"/>
  <c r="J12" i="8" s="1"/>
  <c r="M12" i="8" s="1"/>
  <c r="G12" i="8" s="1"/>
  <c r="K13" i="16" s="1"/>
  <c r="Z15" i="13"/>
  <c r="N15" i="9"/>
  <c r="Q15" i="13"/>
  <c r="I14" i="9"/>
  <c r="V16" i="13"/>
  <c r="X13" i="13"/>
  <c r="M10" i="7"/>
  <c r="L14" i="2"/>
  <c r="N15" i="16" s="1"/>
  <c r="N30" i="2"/>
  <c r="E15" i="13"/>
  <c r="C14" i="9"/>
  <c r="C13" i="9"/>
  <c r="E14" i="13"/>
  <c r="L13" i="2"/>
  <c r="N14" i="16" s="1"/>
  <c r="P12" i="9"/>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I12" i="9" l="1"/>
  <c r="Q13" i="13"/>
  <c r="L12" i="8"/>
  <c r="T13" i="16" s="1"/>
  <c r="T15" i="13"/>
  <c r="L14" i="9"/>
  <c r="L13" i="9"/>
  <c r="T14" i="13"/>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<sst xmlns="http://schemas.openxmlformats.org/spreadsheetml/2006/main" count="654" uniqueCount="141">
  <si>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</si>
  <si>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</si>
  <si>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</si>
  <si>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</si>
  <si>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</si>
  <si>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</si>
  <si>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</si>
  <si>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</si>
  <si>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</si>
  <si>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</si>
  <si>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</si>
  <si>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</si>
  <si>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</si>
  <si>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</si>
  <si>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</si>
  <si>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</si>
  <si>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</si>
  <si>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</si>
  <si>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</si>
  <si>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</si>
  <si>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</si>
  <si>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</si>
  <si>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</si>
  <si>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</si>
  <si>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</si>
  <si>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</si>
  <si>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</si>
  <si>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</si>
  <si>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</si>
  <si>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</si>
  <si>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</si>
  <si>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</si>
  <si>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</si>
  <si>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</si>
  <si>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</si>
  <si>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</si>
  <si>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</si>
  <si>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</si>
  <si>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</si>
  <si>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</si>
  <si>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</si>
  <si>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</si>
  <si>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</si>
  <si>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</si>
  <si>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</si>
  <si>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</si>
  <si>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</si>
  <si>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</si>
  <si>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</si>
  <si>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</si>
  <si>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</si>
  <si>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</si>
  <si>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</si>
  <si>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</si>
  <si>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</si>
  <si>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</si>
  <si>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</si>
  <si>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</si>
  <si>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</si>
  <si>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</si>
  <si>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</si>
  <si>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</si>
  <si>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</si>
  <si>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</si>
  <si>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</si>
  <si>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</si>
  <si>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</si>
  <si>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</si>
  <si>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</si>
  <si>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</si>
  <si>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</si>
  <si>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</si>
  <si>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</si>
  <si>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</si>
  <si>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</si>
  <si>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</si>
  <si>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</si>
  <si>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</si>
  <si>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</si>
  <si>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</si>
  <si>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</si>
  <si>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</si>
  <si>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</si>
  <si>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</si>
  <si>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</si>
  <si>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</si>
  <si>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</si>
  <si>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</si>
  <si>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</si>
  <si>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</si>
  <si>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</si>
  <si>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</si>
  <si>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</si>
  <si>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</si>
  <si>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</si>
  <si>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</si>
  <si>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</si>
  <si>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</si>
  <si>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</si>
  <si>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</si>
  <si>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</si>
  <si>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</si>
  <si>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</si>
  <si>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</si>
  <si>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</si>
  <si>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</si>
  <si>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</si>
  <si>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</si>
  <si>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</si>
  <si>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</si>
  <si>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</si>
  <si>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</si>
  <si>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</si>
  <si>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</si>
  <si>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</si>
  <si>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</si>
  <si>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</si>
  <si>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</si>
  <si>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</si>
  <si>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</si>
  <si>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</si>
  <si>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</si>
  <si>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</si>
  <si>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</si>
  <si>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</si>
  <si>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</si>
  <si>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</si>
  <si>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</si>
  <si>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</si>
  <si>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</si>
  <si>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</si>
  <si>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</si>
  <si>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</si>
  <si>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</si>
  <si>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</si>
  <si>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</si>
  <si>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Cass</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</si>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</sst>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Cass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N=45</c:v>
                </c:pt>
                <c:pt idx="3">
                  <c:v>Petitions, total N=53</c:v>
                </c:pt>
                <c:pt idx="4">
                  <c:v>Detentions, total N=0</c:v>
                </c:pt>
                <c:pt idx="5">
                  <c:v>Referrals, total N=127</c:v>
                </c:pt>
                <c:pt idx="6">
                  <c:v>Arrests, total N=6</c:v>
                </c:pt>
                <c:pt idx="7">
                  <c:v>Population, total N=5229</c:v>
                </c:pt>
              </c:strCache>
            </c:strRef>
          </c:cat>
          <c:val>
            <c:numRef>
              <c:f>'Stacked 100%'!$B$7:$B$14</c:f>
              <c:numCache>
                <c:formatCode>0%</c:formatCode>
                <c:ptCount val="8"/>
                <c:pt idx="0">
                  <c:v>0</c:v>
                </c:pt>
                <c:pt idx="1">
                  <c:v>0</c:v>
                </c:pt>
                <c:pt idx="2">
                  <c:v>0.24444444444444444</c:v>
                </c:pt>
                <c:pt idx="3">
                  <c:v>0.32075471698113206</c:v>
                </c:pt>
                <c:pt idx="4">
                  <c:v>0</c:v>
                </c:pt>
                <c:pt idx="5">
                  <c:v>0.28346456692913385</c:v>
                </c:pt>
                <c:pt idx="6">
                  <c:v>0.16666666666666666</c:v>
                </c:pt>
                <c:pt idx="7">
                  <c:v>8.3572384777204051E-2</c:v>
                </c:pt>
              </c:numCache>
            </c:numRef>
          </c:val>
          <c:extLst>
            <c:ext xmlns:c16="http://schemas.microsoft.com/office/drawing/2014/chart" uri="{C3380CC4-5D6E-409C-BE32-E72D297353CC}">
              <c16:uniqueId val="{00000000-EA84-44F9-B7B1-51184775CB7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N=45</c:v>
                </c:pt>
                <c:pt idx="3">
                  <c:v>Petitions, total N=53</c:v>
                </c:pt>
                <c:pt idx="4">
                  <c:v>Detentions, total N=0</c:v>
                </c:pt>
                <c:pt idx="5">
                  <c:v>Referrals, total N=127</c:v>
                </c:pt>
                <c:pt idx="6">
                  <c:v>Arrests, total N=6</c:v>
                </c:pt>
                <c:pt idx="7">
                  <c:v>Population, total N=5229</c:v>
                </c:pt>
              </c:strCache>
            </c:strRef>
          </c:cat>
          <c:val>
            <c:numRef>
              <c:f>'Stacked 100%'!$C$7:$C$14</c:f>
              <c:numCache>
                <c:formatCode>0%</c:formatCode>
                <c:ptCount val="8"/>
                <c:pt idx="0">
                  <c:v>0</c:v>
                </c:pt>
                <c:pt idx="1">
                  <c:v>0</c:v>
                </c:pt>
                <c:pt idx="2">
                  <c:v>4.4444444444444446E-2</c:v>
                </c:pt>
                <c:pt idx="3">
                  <c:v>3.7735849056603772E-2</c:v>
                </c:pt>
                <c:pt idx="4">
                  <c:v>0</c:v>
                </c:pt>
                <c:pt idx="5">
                  <c:v>1.5748031496062992E-2</c:v>
                </c:pt>
                <c:pt idx="6">
                  <c:v>0</c:v>
                </c:pt>
                <c:pt idx="7">
                  <c:v>7.3627844712182061E-2</c:v>
                </c:pt>
              </c:numCache>
            </c:numRef>
          </c:val>
          <c:extLst>
            <c:ext xmlns:c16="http://schemas.microsoft.com/office/drawing/2014/chart" uri="{C3380CC4-5D6E-409C-BE32-E72D297353CC}">
              <c16:uniqueId val="{00000001-EA84-44F9-B7B1-51184775CB7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N=45</c:v>
                </c:pt>
                <c:pt idx="3">
                  <c:v>Petitions, total N=53</c:v>
                </c:pt>
                <c:pt idx="4">
                  <c:v>Detentions, total N=0</c:v>
                </c:pt>
                <c:pt idx="5">
                  <c:v>Referrals, total N=127</c:v>
                </c:pt>
                <c:pt idx="6">
                  <c:v>Arrests, total N=6</c:v>
                </c:pt>
                <c:pt idx="7">
                  <c:v>Population, total N=5229</c:v>
                </c:pt>
              </c:strCache>
            </c:strRef>
          </c:cat>
          <c:val>
            <c:numRef>
              <c:f>'Stacked 100%'!$H$7:$H$14</c:f>
              <c:numCache>
                <c:formatCode>0%</c:formatCode>
                <c:ptCount val="8"/>
                <c:pt idx="0">
                  <c:v>0</c:v>
                </c:pt>
                <c:pt idx="1">
                  <c:v>0</c:v>
                </c:pt>
                <c:pt idx="2">
                  <c:v>4.9382716049382717E-4</c:v>
                </c:pt>
                <c:pt idx="3">
                  <c:v>3.5599857600569594E-4</c:v>
                </c:pt>
                <c:pt idx="4">
                  <c:v>0</c:v>
                </c:pt>
                <c:pt idx="5">
                  <c:v>1.8600037200074401E-4</c:v>
                </c:pt>
                <c:pt idx="6">
                  <c:v>0</c:v>
                </c:pt>
                <c:pt idx="7">
                  <c:v>5.0470987575688656E-6</c:v>
                </c:pt>
              </c:numCache>
            </c:numRef>
          </c:val>
          <c:extLst>
            <c:ext xmlns:c16="http://schemas.microsoft.com/office/drawing/2014/chart" uri="{C3380CC4-5D6E-409C-BE32-E72D297353CC}">
              <c16:uniqueId val="{00000002-EA84-44F9-B7B1-51184775CB7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N=45</c:v>
                </c:pt>
                <c:pt idx="3">
                  <c:v>Petitions, total N=53</c:v>
                </c:pt>
                <c:pt idx="4">
                  <c:v>Detentions, total N=0</c:v>
                </c:pt>
                <c:pt idx="5">
                  <c:v>Referrals, total N=127</c:v>
                </c:pt>
                <c:pt idx="6">
                  <c:v>Arrests, total N=6</c:v>
                </c:pt>
                <c:pt idx="7">
                  <c:v>Population, total N=5229</c:v>
                </c:pt>
              </c:strCache>
            </c:strRef>
          </c:cat>
          <c:val>
            <c:numRef>
              <c:f>'Stacked 100%'!$I$7:$I$14</c:f>
              <c:numCache>
                <c:formatCode>0%</c:formatCode>
                <c:ptCount val="8"/>
                <c:pt idx="0">
                  <c:v>0</c:v>
                </c:pt>
                <c:pt idx="1">
                  <c:v>0</c:v>
                </c:pt>
                <c:pt idx="2">
                  <c:v>0.6</c:v>
                </c:pt>
                <c:pt idx="3">
                  <c:v>0.54716981132075471</c:v>
                </c:pt>
                <c:pt idx="4">
                  <c:v>0</c:v>
                </c:pt>
                <c:pt idx="5">
                  <c:v>0.62992125984251968</c:v>
                </c:pt>
                <c:pt idx="6">
                  <c:v>0.83333333333333337</c:v>
                </c:pt>
                <c:pt idx="7">
                  <c:v>0.8164084911072863</c:v>
                </c:pt>
              </c:numCache>
            </c:numRef>
          </c:val>
          <c:extLst>
            <c:ext xmlns:c16="http://schemas.microsoft.com/office/drawing/2014/chart" uri="{C3380CC4-5D6E-409C-BE32-E72D297353CC}">
              <c16:uniqueId val="{00000003-EA84-44F9-B7B1-51184775CB70}"/>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N=45</c:v>
                </c:pt>
                <c:pt idx="3">
                  <c:v>Petitions, total N=53</c:v>
                </c:pt>
                <c:pt idx="4">
                  <c:v>Detentions, total N=0</c:v>
                </c:pt>
                <c:pt idx="5">
                  <c:v>Referrals, total N=127</c:v>
                </c:pt>
                <c:pt idx="6">
                  <c:v>Arrests, total N=6</c:v>
                </c:pt>
                <c:pt idx="7">
                  <c:v>Population, total N=5229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EA84-44F9-B7B1-51184775CB70}"/>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L13" sqref="L13"/>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5229</v>
      </c>
      <c r="C6" s="11">
        <v>4269</v>
      </c>
      <c r="D6" s="11">
        <v>437</v>
      </c>
      <c r="E6" s="11">
        <v>385</v>
      </c>
      <c r="F6" s="11">
        <v>49</v>
      </c>
      <c r="G6" s="11"/>
      <c r="H6" s="11">
        <v>89</v>
      </c>
      <c r="I6" s="11"/>
      <c r="J6" s="91">
        <f>SUM(D6:I6)</f>
        <v>960</v>
      </c>
      <c r="K6" s="92"/>
    </row>
    <row r="7" spans="1:11" ht="15.75" customHeight="1" thickBot="1">
      <c r="A7" s="10" t="s">
        <v>8</v>
      </c>
      <c r="B7" s="11">
        <f t="shared" ref="B7:B15" si="0">SUM(C7:I7)+K7</f>
        <v>6</v>
      </c>
      <c r="C7" s="11">
        <v>5</v>
      </c>
      <c r="D7" s="11">
        <v>1</v>
      </c>
      <c r="E7" s="11"/>
      <c r="F7" s="11"/>
      <c r="G7" s="11"/>
      <c r="H7" s="11"/>
      <c r="I7" s="11"/>
      <c r="J7" s="91">
        <f t="shared" ref="J7:J15" si="1">SUM(D7:I7)</f>
        <v>1</v>
      </c>
      <c r="K7" s="92"/>
    </row>
    <row r="8" spans="1:11" ht="15.75" customHeight="1" thickBot="1">
      <c r="A8" s="10" t="s">
        <v>9</v>
      </c>
      <c r="B8" s="11">
        <f t="shared" si="0"/>
        <v>127</v>
      </c>
      <c r="C8" s="11">
        <v>80</v>
      </c>
      <c r="D8" s="11">
        <v>36</v>
      </c>
      <c r="E8" s="11">
        <v>2</v>
      </c>
      <c r="F8" s="11"/>
      <c r="G8" s="11"/>
      <c r="H8" s="11">
        <v>1</v>
      </c>
      <c r="I8" s="11">
        <v>2</v>
      </c>
      <c r="J8" s="91">
        <f t="shared" si="1"/>
        <v>41</v>
      </c>
      <c r="K8" s="92">
        <v>6</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53</v>
      </c>
      <c r="C11" s="11">
        <v>29</v>
      </c>
      <c r="D11" s="11">
        <v>17</v>
      </c>
      <c r="E11" s="11">
        <v>2</v>
      </c>
      <c r="F11" s="11"/>
      <c r="G11" s="11"/>
      <c r="H11" s="11"/>
      <c r="I11" s="11">
        <v>1</v>
      </c>
      <c r="J11" s="91">
        <f t="shared" si="1"/>
        <v>20</v>
      </c>
      <c r="K11" s="92">
        <v>4</v>
      </c>
    </row>
    <row r="12" spans="1:11" ht="15.75" customHeight="1" thickBot="1">
      <c r="A12" s="10" t="s">
        <v>13</v>
      </c>
      <c r="B12" s="11">
        <f t="shared" si="0"/>
        <v>45</v>
      </c>
      <c r="C12" s="11">
        <v>27</v>
      </c>
      <c r="D12" s="11">
        <v>11</v>
      </c>
      <c r="E12" s="11">
        <v>2</v>
      </c>
      <c r="F12" s="11"/>
      <c r="G12" s="11"/>
      <c r="H12" s="11"/>
      <c r="I12" s="11">
        <v>1</v>
      </c>
      <c r="J12" s="91">
        <f t="shared" si="1"/>
        <v>14</v>
      </c>
      <c r="K12" s="92">
        <v>4</v>
      </c>
    </row>
    <row r="13" spans="1:11" ht="15.75" customHeight="1" thickBot="1">
      <c r="A13" s="10" t="s">
        <v>133</v>
      </c>
      <c r="B13" s="11">
        <f t="shared" si="0"/>
        <v>57</v>
      </c>
      <c r="C13" s="11">
        <v>40</v>
      </c>
      <c r="D13" s="11">
        <v>12</v>
      </c>
      <c r="E13" s="11">
        <v>2</v>
      </c>
      <c r="F13" s="11"/>
      <c r="G13" s="11"/>
      <c r="H13" s="11"/>
      <c r="I13" s="11">
        <v>1</v>
      </c>
      <c r="J13" s="91">
        <f t="shared" si="1"/>
        <v>15</v>
      </c>
      <c r="K13" s="92">
        <v>2</v>
      </c>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Cass</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4269</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1.1712344811431248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v>
      </c>
      <c r="Q7" s="42">
        <f>C6-C7</f>
        <v>4264</v>
      </c>
      <c r="R7" s="42">
        <f t="shared" ref="R7:R15" si="5">SUM(N7:Q7)</f>
        <v>4269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80</v>
      </c>
      <c r="D8" s="34">
        <f>IF((AND(C67&gt;0,C8&gt;0)),(C8/C67),0)</f>
        <v>1600</v>
      </c>
      <c r="E8" s="33">
        <f>'Data Entry'!I8</f>
        <v>2</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2</v>
      </c>
      <c r="O8" s="42">
        <f>((D67*L67)-E8)+0.05</f>
        <v>-1.95</v>
      </c>
      <c r="P8" s="42">
        <f t="shared" si="4"/>
        <v>80</v>
      </c>
      <c r="Q8" s="42">
        <f>(C$67*L67)-C8</f>
        <v>-75</v>
      </c>
      <c r="R8" s="42">
        <f t="shared" si="5"/>
        <v>5.0499999999999972</v>
      </c>
      <c r="S8" s="30">
        <f t="shared" si="6"/>
        <v>181.7999999999999</v>
      </c>
      <c r="T8" s="30">
        <f t="shared" si="7"/>
        <v>-1577.4750000000015</v>
      </c>
      <c r="U8" s="31">
        <f t="shared" si="8"/>
        <v>-0.11524746826415615</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80</v>
      </c>
      <c r="R9" s="42">
        <f t="shared" si="5"/>
        <v>82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80</v>
      </c>
      <c r="R10" s="42">
        <f t="shared" si="5"/>
        <v>82</v>
      </c>
      <c r="S10" s="30">
        <f t="shared" si="6"/>
        <v>0</v>
      </c>
      <c r="T10" s="30">
        <f t="shared" si="7"/>
        <v>0</v>
      </c>
      <c r="U10" s="31" t="str">
        <f t="shared" si="8"/>
        <v>- -</v>
      </c>
    </row>
    <row r="11" spans="2:21" ht="18" customHeight="1">
      <c r="B11" s="32" t="str">
        <f>'Data Entry'!A11</f>
        <v>6. Cases Petitioned (Charge Filed)</v>
      </c>
      <c r="C11" s="33">
        <f>'Data Entry'!C11</f>
        <v>29</v>
      </c>
      <c r="D11" s="34">
        <f>IF(((AND(C68&gt;0,C11&gt;0))),(C11/(C68)),0)</f>
        <v>36.25</v>
      </c>
      <c r="E11" s="33">
        <f>'Data Entry'!I11</f>
        <v>1</v>
      </c>
      <c r="F11" s="34">
        <f>IF(((AND($E$11&gt;0,$D$68&gt;0))),($E$11/($D$68)),0)</f>
        <v>50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1</v>
      </c>
      <c r="P11" s="42">
        <f t="shared" si="4"/>
        <v>29</v>
      </c>
      <c r="Q11" s="42">
        <f>(C$68*L68)-C11</f>
        <v>51</v>
      </c>
      <c r="R11" s="42">
        <f t="shared" si="5"/>
        <v>82</v>
      </c>
      <c r="S11" s="30">
        <f t="shared" si="6"/>
        <v>39688</v>
      </c>
      <c r="T11" s="30">
        <f t="shared" si="7"/>
        <v>249600</v>
      </c>
      <c r="U11" s="31">
        <f t="shared" si="8"/>
        <v>0.15900641025641027</v>
      </c>
    </row>
    <row r="12" spans="2:21" ht="18" customHeight="1">
      <c r="B12" s="32" t="str">
        <f>'Data Entry'!A12</f>
        <v>7. Cases Resulting in Delinquent Findings</v>
      </c>
      <c r="C12" s="33">
        <f>'Data Entry'!C12</f>
        <v>27</v>
      </c>
      <c r="D12" s="34">
        <f>IF(((AND(C69&gt;0,C12&gt;0))),(C12/(C69)),0)</f>
        <v>93.103448275862078</v>
      </c>
      <c r="E12" s="33">
        <f>'Data Entry'!I12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0</v>
      </c>
      <c r="P12" s="42">
        <f t="shared" si="4"/>
        <v>27</v>
      </c>
      <c r="Q12" s="42">
        <f>(C69*L69)-C12</f>
        <v>1.9999999999999964</v>
      </c>
      <c r="R12" s="42">
        <f t="shared" si="5"/>
        <v>29.999999999999996</v>
      </c>
      <c r="S12" s="30">
        <f t="shared" si="6"/>
        <v>119.99999999999956</v>
      </c>
      <c r="T12" s="30">
        <f t="shared" si="7"/>
        <v>1623.9999999999968</v>
      </c>
      <c r="U12" s="31">
        <f t="shared" si="8"/>
        <v>7.3891625615763415E-2</v>
      </c>
    </row>
    <row r="13" spans="2:21" ht="18" customHeight="1">
      <c r="B13" s="32" t="str">
        <f>'Data Entry'!A13</f>
        <v>8. Cases Resulting in Probation Placement</v>
      </c>
      <c r="C13" s="33">
        <f>'Data Entry'!C13</f>
        <v>40</v>
      </c>
      <c r="D13" s="34">
        <f>IF(((AND(C70&gt;0,C13&gt;0))),(C13/(C70)),0)</f>
        <v>148.14814814814815</v>
      </c>
      <c r="E13" s="33">
        <f>'Data Entry'!I13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1</v>
      </c>
      <c r="O13" s="42">
        <f>(D70*L70)-E13</f>
        <v>0</v>
      </c>
      <c r="P13" s="42">
        <f t="shared" si="4"/>
        <v>40</v>
      </c>
      <c r="Q13" s="42">
        <f>(C70*L70)-C13</f>
        <v>-13</v>
      </c>
      <c r="R13" s="42">
        <f t="shared" si="5"/>
        <v>28</v>
      </c>
      <c r="S13" s="30">
        <f t="shared" si="6"/>
        <v>4732</v>
      </c>
      <c r="T13" s="30">
        <f t="shared" si="7"/>
        <v>-14391</v>
      </c>
      <c r="U13" s="31">
        <f t="shared" si="8"/>
        <v>-0.32881662149954832</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27</v>
      </c>
      <c r="R14" s="42">
        <f t="shared" si="5"/>
        <v>28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28.999999999999996</v>
      </c>
      <c r="R15" s="42">
        <f t="shared" si="5"/>
        <v>29.999999999999996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4.2690000000000001</v>
      </c>
      <c r="D42" s="56">
        <f>E6/1000</f>
        <v>0</v>
      </c>
      <c r="E42" s="56">
        <f>MAX(C42:D42)</f>
        <v>4.2690000000000001</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0.8</v>
      </c>
      <c r="D44" s="56">
        <f>E8/100</f>
        <v>0.02</v>
      </c>
      <c r="E44" s="56">
        <f>MAX(C44:D44,0)</f>
        <v>0.8</v>
      </c>
      <c r="G44" s="1" t="str">
        <f>B44</f>
        <v>per 100 referrals</v>
      </c>
      <c r="L44" s="57">
        <v>100</v>
      </c>
      <c r="M44" s="57"/>
      <c r="R44" s="49"/>
    </row>
    <row r="45" spans="2:18" ht="15" hidden="1" customHeight="1">
      <c r="B45" s="49" t="s">
        <v>89</v>
      </c>
      <c r="C45" s="49">
        <f>C11/100</f>
        <v>0.28999999999999998</v>
      </c>
      <c r="D45" s="49">
        <f>E11/100</f>
        <v>0.01</v>
      </c>
      <c r="E45" s="56">
        <f>MAX(C45:D45,0)</f>
        <v>0.28999999999999998</v>
      </c>
      <c r="G45" s="1" t="str">
        <f>B45</f>
        <v>per 100 youth petitioned</v>
      </c>
      <c r="L45" s="57">
        <v>100</v>
      </c>
      <c r="M45" s="57"/>
      <c r="R45" s="49"/>
    </row>
    <row r="46" spans="2:18" ht="15" hidden="1" customHeight="1">
      <c r="B46" s="49" t="s">
        <v>90</v>
      </c>
      <c r="C46" s="49">
        <f>C12/100</f>
        <v>0.27</v>
      </c>
      <c r="D46" s="49">
        <f>E12/100</f>
        <v>0.01</v>
      </c>
      <c r="E46" s="56">
        <f>MAX(C46:D46)</f>
        <v>0.27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4.2690000000000001</v>
      </c>
      <c r="D48" s="56">
        <f>D42</f>
        <v>0</v>
      </c>
      <c r="E48" s="56">
        <f>MAX(C48:D48)</f>
        <v>4.2690000000000001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referrals</v>
      </c>
      <c r="C50" s="49">
        <f t="shared" si="9"/>
        <v>0.8</v>
      </c>
      <c r="D50" s="49">
        <f t="shared" si="9"/>
        <v>0.02</v>
      </c>
      <c r="E50" s="49">
        <f>MAX(C50:D50)</f>
        <v>0.8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0.28999999999999998</v>
      </c>
      <c r="D51" s="49">
        <f>IF(($E45&gt;0),D45,D44)</f>
        <v>0.01</v>
      </c>
      <c r="E51" s="49">
        <f>MAX(C51:D51)</f>
        <v>0.28999999999999998</v>
      </c>
      <c r="G51" s="1" t="str">
        <f>G45</f>
        <v>per 100 youth petitioned</v>
      </c>
      <c r="L51" s="58">
        <f>IF(($E45&gt;0),L45,L44)</f>
        <v>100</v>
      </c>
      <c r="M51" s="58"/>
    </row>
    <row r="52" spans="2:18" ht="15" hidden="1" customHeight="1">
      <c r="B52" s="49" t="str">
        <f>IF(($E46&gt;0),B46,B45)</f>
        <v>per 100 youth found delinquent</v>
      </c>
      <c r="C52" s="49">
        <f>IF(($E46&gt;0),C46,C45)</f>
        <v>0.27</v>
      </c>
      <c r="D52" s="49">
        <f>IF(($E46&gt;0),D46,D45)</f>
        <v>0.01</v>
      </c>
      <c r="E52" s="56">
        <f>MAX(C52:D52)</f>
        <v>0.27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4.2690000000000001</v>
      </c>
      <c r="D54" s="56">
        <f>D48</f>
        <v>0</v>
      </c>
      <c r="E54" s="56">
        <f>MAX(C54:D54)</f>
        <v>4.2690000000000001</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referrals</v>
      </c>
      <c r="C56" s="49">
        <f t="shared" si="10"/>
        <v>0.8</v>
      </c>
      <c r="D56" s="49">
        <f t="shared" si="10"/>
        <v>0.02</v>
      </c>
      <c r="E56" s="49">
        <f>MAX(C56:D56)</f>
        <v>0.8</v>
      </c>
      <c r="G56" s="1" t="str">
        <f>G50</f>
        <v>per 100 referrals</v>
      </c>
      <c r="L56" s="58">
        <f>IF(($E50&gt;0),L50,L49)</f>
        <v>100</v>
      </c>
      <c r="M56" s="58"/>
    </row>
    <row r="57" spans="2:18" ht="15" hidden="1" customHeight="1">
      <c r="B57" s="49" t="str">
        <f>IF(($E51&gt;0),B51,B49)</f>
        <v>per 100 youth petitioned</v>
      </c>
      <c r="C57" s="49">
        <f>IF(($E51&gt;0),C51,C50)</f>
        <v>0.28999999999999998</v>
      </c>
      <c r="D57" s="49">
        <f>IF(($E51&gt;0),D51,D50)</f>
        <v>0.01</v>
      </c>
      <c r="E57" s="49">
        <f>MAX(C57:D57)</f>
        <v>0.28999999999999998</v>
      </c>
      <c r="G57" s="1" t="str">
        <f>G51</f>
        <v>per 100 youth petitioned</v>
      </c>
      <c r="L57" s="58">
        <f>IF(($E51&gt;0),L51,L50)</f>
        <v>100</v>
      </c>
      <c r="M57" s="58"/>
    </row>
    <row r="58" spans="2:18" ht="15" hidden="1" customHeight="1">
      <c r="B58" s="49" t="str">
        <f>IF(($E52&gt;0),B52,B51)</f>
        <v>per 100 youth found delinquent</v>
      </c>
      <c r="C58" s="49">
        <f>IF(($E52&gt;0),C52,C51)</f>
        <v>0.27</v>
      </c>
      <c r="D58" s="49">
        <f>IF(($E52&gt;0),D52,D51)</f>
        <v>0.01</v>
      </c>
      <c r="E58" s="56">
        <f>MAX(C58:D58)</f>
        <v>0.27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4.2690000000000001</v>
      </c>
      <c r="D60" s="56">
        <f>D54</f>
        <v>0</v>
      </c>
      <c r="E60" s="56">
        <f>MAX(C60:D60)</f>
        <v>4.2690000000000001</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referrals</v>
      </c>
      <c r="C62" s="49">
        <f t="shared" si="11"/>
        <v>0.8</v>
      </c>
      <c r="D62" s="49">
        <f t="shared" si="11"/>
        <v>0.02</v>
      </c>
      <c r="E62" s="49">
        <f>MAX(C62:D62)</f>
        <v>0.8</v>
      </c>
      <c r="G62" s="1" t="str">
        <f>G56</f>
        <v>per 100 referrals</v>
      </c>
      <c r="L62" s="58">
        <f>IF(($E56&gt;0),L56,L55)</f>
        <v>100</v>
      </c>
      <c r="M62" s="58"/>
    </row>
    <row r="63" spans="2:18" ht="15" hidden="1" customHeight="1">
      <c r="B63" s="49" t="str">
        <f>IF(($E57&gt;0),B57,B55)</f>
        <v>per 100 youth petitioned</v>
      </c>
      <c r="C63" s="49">
        <f>IF(($E57&gt;0),C57,C56)</f>
        <v>0.28999999999999998</v>
      </c>
      <c r="D63" s="49">
        <f>IF(($E57&gt;0),D57,D56)</f>
        <v>0.01</v>
      </c>
      <c r="E63" s="49">
        <f>MAX(C63:D63)</f>
        <v>0.28999999999999998</v>
      </c>
      <c r="G63" s="1" t="str">
        <f>G57</f>
        <v>per 100 youth petitioned</v>
      </c>
      <c r="L63" s="58">
        <f>IF(($E57&gt;0),L57,L56)</f>
        <v>100</v>
      </c>
      <c r="M63" s="58"/>
    </row>
    <row r="64" spans="2:18" ht="15" hidden="1" customHeight="1">
      <c r="B64" s="49" t="str">
        <f>IF(($E58&gt;0),B58,B57)</f>
        <v>per 100 youth found delinquent</v>
      </c>
      <c r="C64" s="49">
        <f>IF(($E58&gt;0),C58,C57)</f>
        <v>0.27</v>
      </c>
      <c r="D64" s="49">
        <f>IF(($E58&gt;0),D58,D57)</f>
        <v>0.01</v>
      </c>
      <c r="E64" s="56">
        <f>MAX(C64:D64)</f>
        <v>0.27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4.2690000000000001</v>
      </c>
      <c r="D66" s="56">
        <f>D60</f>
        <v>0</v>
      </c>
      <c r="E66" s="56">
        <f>MAX(C66:D66)</f>
        <v>4.2690000000000001</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referrals</v>
      </c>
      <c r="C68" s="49">
        <f t="shared" si="12"/>
        <v>0.8</v>
      </c>
      <c r="D68" s="49">
        <f t="shared" si="12"/>
        <v>0.02</v>
      </c>
      <c r="E68" s="49">
        <f>MAX(C68:D68)</f>
        <v>0.8</v>
      </c>
      <c r="G68" s="1" t="str">
        <f>G62</f>
        <v>per 100 referrals</v>
      </c>
      <c r="L68" s="58">
        <f>IF(($E62&gt;0),L62,L61)</f>
        <v>100</v>
      </c>
      <c r="M68" s="58">
        <f>IF((B68=G68),1,2)</f>
        <v>1</v>
      </c>
    </row>
    <row r="69" spans="2:13" ht="15" hidden="1" customHeight="1">
      <c r="B69" s="49" t="str">
        <f>IF(($E63&gt;0),B63,B61)</f>
        <v>per 100 youth petitioned</v>
      </c>
      <c r="C69" s="49">
        <f>IF(($E63&gt;0),C63,C62)</f>
        <v>0.28999999999999998</v>
      </c>
      <c r="D69" s="49">
        <f>IF(($E63&gt;0),D63,D62)</f>
        <v>0.01</v>
      </c>
      <c r="E69" s="49">
        <f>MAX(C69:D69)</f>
        <v>0.28999999999999998</v>
      </c>
      <c r="G69" s="1" t="str">
        <f>G63</f>
        <v>per 100 youth petitioned</v>
      </c>
      <c r="L69" s="58">
        <f>IF(($E63&gt;0),L63,L62)</f>
        <v>100</v>
      </c>
      <c r="M69" s="58">
        <f>IF((B69=G69),1,2)</f>
        <v>1</v>
      </c>
    </row>
    <row r="70" spans="2:13" ht="15" hidden="1" customHeight="1">
      <c r="B70" s="49" t="str">
        <f>IF(($E64&gt;0),B64,B63)</f>
        <v>per 100 youth found delinquent</v>
      </c>
      <c r="C70" s="49">
        <f>IF(($E64&gt;0),C64,C63)</f>
        <v>0.27</v>
      </c>
      <c r="D70" s="49">
        <f>IF(($E64&gt;0),D64,D63)</f>
        <v>0.01</v>
      </c>
      <c r="E70" s="56">
        <f>MAX(C70:D70)</f>
        <v>0.27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Cass</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4269</v>
      </c>
      <c r="D6" s="34"/>
      <c r="E6" s="33">
        <f>'Data Entry'!J6</f>
        <v>960</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1.1712344811431248</v>
      </c>
      <c r="E7" s="33">
        <f>'Data Entry'!J7</f>
        <v>1</v>
      </c>
      <c r="F7" s="34">
        <f>IF((AND($E$7&gt;0,$D$66&gt;0)),($E$7/$D$66),0)</f>
        <v>1.0416666666666667</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959</v>
      </c>
      <c r="P7" s="42">
        <f t="shared" ref="P7:P15" si="4">C7</f>
        <v>5</v>
      </c>
      <c r="Q7" s="42">
        <f>C6-C7</f>
        <v>4264</v>
      </c>
      <c r="R7" s="42">
        <f t="shared" ref="R7:R15" si="5">SUM(N7:Q7)</f>
        <v>5229</v>
      </c>
      <c r="S7" s="30">
        <f t="shared" ref="S7:S15" si="6">R7*((((N7*Q7)-(O7*P7))^2))</f>
        <v>1474374069</v>
      </c>
      <c r="T7" s="30">
        <f t="shared" ref="T7:T15" si="7">(N7+O7)*(P7+Q7)*(N7+P7)*(O7+Q7)</f>
        <v>128430645120</v>
      </c>
      <c r="U7" s="31">
        <f t="shared" ref="U7:U15" si="8">IF((S7&gt;0),S7/T7,"- -")</f>
        <v>1.147992418493584E-2</v>
      </c>
    </row>
    <row r="8" spans="2:21" ht="18" customHeight="1">
      <c r="B8" s="32" t="str">
        <f>'Data Entry'!A8</f>
        <v>3. Refer to Juvenile Court</v>
      </c>
      <c r="C8" s="33">
        <f>'Data Entry'!C8</f>
        <v>80</v>
      </c>
      <c r="D8" s="34">
        <f>IF((AND(C67&gt;0,C8&gt;0)),(C8/C67),0)</f>
        <v>1600</v>
      </c>
      <c r="E8" s="33">
        <f>'Data Entry'!J8</f>
        <v>41</v>
      </c>
      <c r="F8" s="34">
        <f>IF((AND($E$8&gt;0,$D$67&gt;0)),($E8/$D67),0)</f>
        <v>4100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41</v>
      </c>
      <c r="O8" s="42">
        <f>((D67*L67)-E8)+0.05</f>
        <v>-39.950000000000003</v>
      </c>
      <c r="P8" s="42">
        <f t="shared" si="4"/>
        <v>80</v>
      </c>
      <c r="Q8" s="42">
        <f>(C$67*L67)-C8</f>
        <v>-75</v>
      </c>
      <c r="R8" s="42">
        <f t="shared" si="5"/>
        <v>6.0499999999999972</v>
      </c>
      <c r="S8" s="30">
        <f t="shared" si="6"/>
        <v>88578.049999999959</v>
      </c>
      <c r="T8" s="30">
        <f t="shared" si="7"/>
        <v>-73021.987499999799</v>
      </c>
      <c r="U8" s="31">
        <f t="shared" si="8"/>
        <v>-1.2130325814536369</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41</v>
      </c>
      <c r="P9" s="42">
        <f t="shared" si="4"/>
        <v>0</v>
      </c>
      <c r="Q9" s="42">
        <f>(C$68*L68)-C9</f>
        <v>80</v>
      </c>
      <c r="R9" s="42">
        <f t="shared" si="5"/>
        <v>121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41</v>
      </c>
      <c r="P10" s="42">
        <f t="shared" si="4"/>
        <v>0</v>
      </c>
      <c r="Q10" s="42">
        <f>(C$68*L68)-C10</f>
        <v>80</v>
      </c>
      <c r="R10" s="42">
        <f t="shared" si="5"/>
        <v>121</v>
      </c>
      <c r="S10" s="30">
        <f t="shared" si="6"/>
        <v>0</v>
      </c>
      <c r="T10" s="30">
        <f t="shared" si="7"/>
        <v>0</v>
      </c>
      <c r="U10" s="31" t="str">
        <f t="shared" si="8"/>
        <v>- -</v>
      </c>
    </row>
    <row r="11" spans="2:21" ht="18" customHeight="1">
      <c r="B11" s="32" t="str">
        <f>'Data Entry'!A11</f>
        <v>6. Cases Petitioned (Charge Filed)</v>
      </c>
      <c r="C11" s="33">
        <f>'Data Entry'!C11</f>
        <v>29</v>
      </c>
      <c r="D11" s="34">
        <f>IF(((AND(C68&gt;0,C11&gt;0))),(C11/(C68)),0)</f>
        <v>36.25</v>
      </c>
      <c r="E11" s="33">
        <f>'Data Entry'!J11</f>
        <v>20</v>
      </c>
      <c r="F11" s="34">
        <f>IF(((AND($E$11&gt;0,$D$68&gt;0))),($E$11/($D$68)),0)</f>
        <v>48.780487804878049</v>
      </c>
      <c r="G11" s="39">
        <f t="shared" si="0"/>
        <v>1.3456686291000841</v>
      </c>
      <c r="H11" s="40"/>
      <c r="I11" s="41"/>
      <c r="J11" s="40">
        <f>IF((ABS($U11)&gt;Defaults!D$7),1,2)</f>
        <v>2</v>
      </c>
      <c r="K11" s="39">
        <f>IF((AND(N11&gt;Defaults!B$12,(N11+O11)&gt;Defaults!B$13, P11 &gt; Defaults!B$12, (P11+Q11) &gt; Defaults!B$13)),1,20)</f>
        <v>1</v>
      </c>
      <c r="L11" s="1">
        <f t="shared" si="1"/>
        <v>2</v>
      </c>
      <c r="M11" s="1" t="b">
        <f t="shared" si="2"/>
        <v>1</v>
      </c>
      <c r="N11" s="42">
        <f t="shared" si="3"/>
        <v>20</v>
      </c>
      <c r="O11" s="42">
        <f>(D$68*L68)-E11</f>
        <v>21</v>
      </c>
      <c r="P11" s="42">
        <f t="shared" si="4"/>
        <v>29</v>
      </c>
      <c r="Q11" s="42">
        <f>(C$68*L68)-C11</f>
        <v>51</v>
      </c>
      <c r="R11" s="42">
        <f t="shared" si="5"/>
        <v>121</v>
      </c>
      <c r="S11" s="30">
        <f t="shared" si="6"/>
        <v>20439441</v>
      </c>
      <c r="T11" s="30">
        <f t="shared" si="7"/>
        <v>11571840</v>
      </c>
      <c r="U11" s="31">
        <f t="shared" si="8"/>
        <v>1.7663086423593828</v>
      </c>
    </row>
    <row r="12" spans="2:21" ht="18" customHeight="1">
      <c r="B12" s="32" t="str">
        <f>'Data Entry'!A12</f>
        <v>7. Cases Resulting in Delinquent Findings</v>
      </c>
      <c r="C12" s="33">
        <f>'Data Entry'!C12</f>
        <v>27</v>
      </c>
      <c r="D12" s="34">
        <f>IF(((AND(C69&gt;0,C12&gt;0))),(C12/(C69)),0)</f>
        <v>93.103448275862078</v>
      </c>
      <c r="E12" s="33">
        <f>'Data Entry'!J12</f>
        <v>14</v>
      </c>
      <c r="F12" s="34">
        <f>IF(((AND($D$69&gt;0,$E$12&gt;0))),(E12/(D69)),0)</f>
        <v>70</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14</v>
      </c>
      <c r="O12" s="42">
        <f>(D69*L69)-E12</f>
        <v>6</v>
      </c>
      <c r="P12" s="42">
        <f t="shared" si="4"/>
        <v>27</v>
      </c>
      <c r="Q12" s="42">
        <f>(C69*L69)-C12</f>
        <v>1.9999999999999964</v>
      </c>
      <c r="R12" s="42">
        <f t="shared" si="5"/>
        <v>49</v>
      </c>
      <c r="S12" s="30">
        <f t="shared" si="6"/>
        <v>879844.0000000007</v>
      </c>
      <c r="T12" s="30">
        <f t="shared" si="7"/>
        <v>190239.99999999988</v>
      </c>
      <c r="U12" s="31">
        <f t="shared" si="8"/>
        <v>4.6249158957106875</v>
      </c>
    </row>
    <row r="13" spans="2:21" ht="18" customHeight="1">
      <c r="B13" s="32" t="str">
        <f>'Data Entry'!A13</f>
        <v>8. Cases Resulting in Probation Placement</v>
      </c>
      <c r="C13" s="33">
        <f>'Data Entry'!C13</f>
        <v>40</v>
      </c>
      <c r="D13" s="34">
        <f>IF(((AND(C70&gt;0,C13&gt;0))),(C13/(C70)),0)</f>
        <v>148.14814814814815</v>
      </c>
      <c r="E13" s="33">
        <f>'Data Entry'!J13</f>
        <v>15</v>
      </c>
      <c r="F13" s="34">
        <f>IF(((AND($D$70&gt;0,$E$13&gt;0))),($E$13/($D$70)),0)</f>
        <v>107.14285714285714</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15</v>
      </c>
      <c r="O13" s="42">
        <f>(D70*L70)-E13</f>
        <v>-0.99999999999999822</v>
      </c>
      <c r="P13" s="42">
        <f t="shared" si="4"/>
        <v>40</v>
      </c>
      <c r="Q13" s="42">
        <f>(C70*L70)-C13</f>
        <v>-13</v>
      </c>
      <c r="R13" s="42">
        <f t="shared" si="5"/>
        <v>41</v>
      </c>
      <c r="S13" s="30">
        <f t="shared" si="6"/>
        <v>985025.0000000007</v>
      </c>
      <c r="T13" s="30">
        <f t="shared" si="7"/>
        <v>-291060</v>
      </c>
      <c r="U13" s="31">
        <f t="shared" si="8"/>
        <v>-3.3842678485535651</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14.000000000000002</v>
      </c>
      <c r="P14" s="42">
        <f t="shared" si="4"/>
        <v>0</v>
      </c>
      <c r="Q14" s="42">
        <f>(C70*L70)-C14</f>
        <v>27</v>
      </c>
      <c r="R14" s="42">
        <f t="shared" si="5"/>
        <v>41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20</v>
      </c>
      <c r="P15" s="42">
        <f t="shared" si="4"/>
        <v>0</v>
      </c>
      <c r="Q15" s="42">
        <f>(C69*L69)-C15</f>
        <v>28.999999999999996</v>
      </c>
      <c r="R15" s="42">
        <f t="shared" si="5"/>
        <v>49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4.2690000000000001</v>
      </c>
      <c r="D42" s="56">
        <f>E6/1000</f>
        <v>0.96</v>
      </c>
      <c r="E42" s="56">
        <f>MAX(C42:D42)</f>
        <v>4.2690000000000001</v>
      </c>
      <c r="G42" s="1" t="str">
        <f>B42</f>
        <v>per 1000 youth</v>
      </c>
      <c r="L42" s="57">
        <v>1000</v>
      </c>
      <c r="M42" s="57"/>
      <c r="R42" s="49"/>
    </row>
    <row r="43" spans="2:18" ht="15" hidden="1" customHeight="1">
      <c r="B43" s="49" t="s">
        <v>87</v>
      </c>
      <c r="C43" s="56">
        <f>C7/100</f>
        <v>0.05</v>
      </c>
      <c r="D43" s="56">
        <f>E7/100</f>
        <v>0.01</v>
      </c>
      <c r="E43" s="56">
        <f>MAX(C43:D43,0)</f>
        <v>0.05</v>
      </c>
      <c r="G43" s="1" t="str">
        <f>B43</f>
        <v>per 100 arrests</v>
      </c>
      <c r="L43" s="57">
        <v>100</v>
      </c>
      <c r="M43" s="57"/>
      <c r="R43" s="49"/>
    </row>
    <row r="44" spans="2:18" ht="15" hidden="1" customHeight="1">
      <c r="B44" s="49" t="s">
        <v>88</v>
      </c>
      <c r="C44" s="56">
        <f>C8/100</f>
        <v>0.8</v>
      </c>
      <c r="D44" s="56">
        <f>E8/100</f>
        <v>0.41</v>
      </c>
      <c r="E44" s="56">
        <f>MAX(C44:D44,0)</f>
        <v>0.8</v>
      </c>
      <c r="G44" s="1" t="str">
        <f>B44</f>
        <v>per 100 referrals</v>
      </c>
      <c r="L44" s="57">
        <v>100</v>
      </c>
      <c r="M44" s="57"/>
      <c r="R44" s="49"/>
    </row>
    <row r="45" spans="2:18" ht="15" hidden="1" customHeight="1">
      <c r="B45" s="49" t="s">
        <v>89</v>
      </c>
      <c r="C45" s="49">
        <f>C11/100</f>
        <v>0.28999999999999998</v>
      </c>
      <c r="D45" s="49">
        <f>E11/100</f>
        <v>0.2</v>
      </c>
      <c r="E45" s="56">
        <f>MAX(C45:D45,0)</f>
        <v>0.28999999999999998</v>
      </c>
      <c r="G45" s="1" t="str">
        <f>B45</f>
        <v>per 100 youth petitioned</v>
      </c>
      <c r="L45" s="57">
        <v>100</v>
      </c>
      <c r="M45" s="57"/>
      <c r="R45" s="49"/>
    </row>
    <row r="46" spans="2:18" ht="15" hidden="1" customHeight="1">
      <c r="B46" s="49" t="s">
        <v>90</v>
      </c>
      <c r="C46" s="49">
        <f>C12/100</f>
        <v>0.27</v>
      </c>
      <c r="D46" s="49">
        <f>E12/100</f>
        <v>0.14000000000000001</v>
      </c>
      <c r="E46" s="56">
        <f>MAX(C46:D46)</f>
        <v>0.27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4.2690000000000001</v>
      </c>
      <c r="D48" s="56">
        <f>D42</f>
        <v>0.96</v>
      </c>
      <c r="E48" s="56">
        <f>MAX(C48:D48)</f>
        <v>4.2690000000000001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0.01</v>
      </c>
      <c r="E49" s="49">
        <f>MAX(C49:D49)</f>
        <v>0.05</v>
      </c>
      <c r="G49" s="1" t="str">
        <f>G43</f>
        <v>per 100 arrests</v>
      </c>
      <c r="L49" s="58">
        <f>IF(($E43&gt;0),L43,L42)</f>
        <v>100</v>
      </c>
      <c r="M49" s="58"/>
      <c r="N49" s="21"/>
      <c r="O49" s="21"/>
      <c r="P49" s="21"/>
      <c r="Q49" s="21"/>
      <c r="R49" s="21"/>
    </row>
    <row r="50" spans="2:18" ht="15" hidden="1" customHeight="1">
      <c r="B50" s="49" t="str">
        <f t="shared" si="9"/>
        <v>per 100 referrals</v>
      </c>
      <c r="C50" s="49">
        <f t="shared" si="9"/>
        <v>0.8</v>
      </c>
      <c r="D50" s="49">
        <f t="shared" si="9"/>
        <v>0.41</v>
      </c>
      <c r="E50" s="49">
        <f>MAX(C50:D50)</f>
        <v>0.8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0.28999999999999998</v>
      </c>
      <c r="D51" s="49">
        <f>IF(($E45&gt;0),D45,D44)</f>
        <v>0.2</v>
      </c>
      <c r="E51" s="49">
        <f>MAX(C51:D51)</f>
        <v>0.28999999999999998</v>
      </c>
      <c r="G51" s="1" t="str">
        <f>G45</f>
        <v>per 100 youth petitioned</v>
      </c>
      <c r="L51" s="58">
        <f>IF(($E45&gt;0),L45,L44)</f>
        <v>100</v>
      </c>
      <c r="M51" s="58"/>
    </row>
    <row r="52" spans="2:18" ht="15" hidden="1" customHeight="1">
      <c r="B52" s="49" t="str">
        <f>IF(($E46&gt;0),B46,B45)</f>
        <v>per 100 youth found delinquent</v>
      </c>
      <c r="C52" s="49">
        <f>IF(($E46&gt;0),C46,C45)</f>
        <v>0.27</v>
      </c>
      <c r="D52" s="49">
        <f>IF(($E46&gt;0),D46,D45)</f>
        <v>0.14000000000000001</v>
      </c>
      <c r="E52" s="56">
        <f>MAX(C52:D52)</f>
        <v>0.27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4.2690000000000001</v>
      </c>
      <c r="D54" s="56">
        <f>D48</f>
        <v>0.96</v>
      </c>
      <c r="E54" s="56">
        <f>MAX(C54:D54)</f>
        <v>4.2690000000000001</v>
      </c>
      <c r="G54" s="1" t="str">
        <f>G48</f>
        <v>per 1000 youth</v>
      </c>
      <c r="L54" s="58">
        <f>L48</f>
        <v>1000</v>
      </c>
      <c r="M54" s="58"/>
    </row>
    <row r="55" spans="2:18" ht="15" hidden="1" customHeight="1">
      <c r="B55" s="49" t="str">
        <f t="shared" ref="B55:D56" si="10">IF(($E49&gt;0),B49,B48)</f>
        <v>per 100 arrests</v>
      </c>
      <c r="C55" s="49">
        <f t="shared" si="10"/>
        <v>0.05</v>
      </c>
      <c r="D55" s="49">
        <f t="shared" si="10"/>
        <v>0.01</v>
      </c>
      <c r="E55" s="49">
        <f>MAX(C55:D55)</f>
        <v>0.05</v>
      </c>
      <c r="G55" s="1" t="str">
        <f>G49</f>
        <v>per 100 arrests</v>
      </c>
      <c r="L55" s="58">
        <f>IF(($E49&gt;0),L49,L48)</f>
        <v>100</v>
      </c>
      <c r="M55" s="58"/>
    </row>
    <row r="56" spans="2:18" ht="15" hidden="1" customHeight="1">
      <c r="B56" s="49" t="str">
        <f t="shared" si="10"/>
        <v>per 100 referrals</v>
      </c>
      <c r="C56" s="49">
        <f t="shared" si="10"/>
        <v>0.8</v>
      </c>
      <c r="D56" s="49">
        <f t="shared" si="10"/>
        <v>0.41</v>
      </c>
      <c r="E56" s="49">
        <f>MAX(C56:D56)</f>
        <v>0.8</v>
      </c>
      <c r="G56" s="1" t="str">
        <f>G50</f>
        <v>per 100 referrals</v>
      </c>
      <c r="L56" s="58">
        <f>IF(($E50&gt;0),L50,L49)</f>
        <v>100</v>
      </c>
      <c r="M56" s="58"/>
    </row>
    <row r="57" spans="2:18" ht="15" hidden="1" customHeight="1">
      <c r="B57" s="49" t="str">
        <f>IF(($E51&gt;0),B51,B49)</f>
        <v>per 100 youth petitioned</v>
      </c>
      <c r="C57" s="49">
        <f>IF(($E51&gt;0),C51,C50)</f>
        <v>0.28999999999999998</v>
      </c>
      <c r="D57" s="49">
        <f>IF(($E51&gt;0),D51,D50)</f>
        <v>0.2</v>
      </c>
      <c r="E57" s="49">
        <f>MAX(C57:D57)</f>
        <v>0.28999999999999998</v>
      </c>
      <c r="G57" s="1" t="str">
        <f>G51</f>
        <v>per 100 youth petitioned</v>
      </c>
      <c r="L57" s="58">
        <f>IF(($E51&gt;0),L51,L50)</f>
        <v>100</v>
      </c>
      <c r="M57" s="58"/>
    </row>
    <row r="58" spans="2:18" ht="15" hidden="1" customHeight="1">
      <c r="B58" s="49" t="str">
        <f>IF(($E52&gt;0),B52,B51)</f>
        <v>per 100 youth found delinquent</v>
      </c>
      <c r="C58" s="49">
        <f>IF(($E52&gt;0),C52,C51)</f>
        <v>0.27</v>
      </c>
      <c r="D58" s="49">
        <f>IF(($E52&gt;0),D52,D51)</f>
        <v>0.14000000000000001</v>
      </c>
      <c r="E58" s="56">
        <f>MAX(C58:D58)</f>
        <v>0.27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4.2690000000000001</v>
      </c>
      <c r="D60" s="56">
        <f>D54</f>
        <v>0.96</v>
      </c>
      <c r="E60" s="56">
        <f>MAX(C60:D60)</f>
        <v>4.2690000000000001</v>
      </c>
      <c r="G60" s="1" t="str">
        <f>G54</f>
        <v>per 1000 youth</v>
      </c>
      <c r="L60" s="58">
        <f>L54</f>
        <v>1000</v>
      </c>
      <c r="M60" s="58"/>
    </row>
    <row r="61" spans="2:18" ht="15" hidden="1" customHeight="1">
      <c r="B61" s="49" t="str">
        <f t="shared" ref="B61:D62" si="11">IF(($E55&gt;0),B55,B54)</f>
        <v>per 100 arrests</v>
      </c>
      <c r="C61" s="49">
        <f t="shared" si="11"/>
        <v>0.05</v>
      </c>
      <c r="D61" s="49">
        <f t="shared" si="11"/>
        <v>0.01</v>
      </c>
      <c r="E61" s="49">
        <f>MAX(C61:D61)</f>
        <v>0.05</v>
      </c>
      <c r="G61" s="1" t="str">
        <f>G55</f>
        <v>per 100 arrests</v>
      </c>
      <c r="L61" s="58">
        <f>IF(($E55&gt;0),L55,L54)</f>
        <v>100</v>
      </c>
      <c r="M61" s="58"/>
    </row>
    <row r="62" spans="2:18" ht="15" hidden="1" customHeight="1">
      <c r="B62" s="49" t="str">
        <f t="shared" si="11"/>
        <v>per 100 referrals</v>
      </c>
      <c r="C62" s="49">
        <f t="shared" si="11"/>
        <v>0.8</v>
      </c>
      <c r="D62" s="49">
        <f t="shared" si="11"/>
        <v>0.41</v>
      </c>
      <c r="E62" s="49">
        <f>MAX(C62:D62)</f>
        <v>0.8</v>
      </c>
      <c r="G62" s="1" t="str">
        <f>G56</f>
        <v>per 100 referrals</v>
      </c>
      <c r="L62" s="58">
        <f>IF(($E56&gt;0),L56,L55)</f>
        <v>100</v>
      </c>
      <c r="M62" s="58"/>
    </row>
    <row r="63" spans="2:18" ht="15" hidden="1" customHeight="1">
      <c r="B63" s="49" t="str">
        <f>IF(($E57&gt;0),B57,B55)</f>
        <v>per 100 youth petitioned</v>
      </c>
      <c r="C63" s="49">
        <f>IF(($E57&gt;0),C57,C56)</f>
        <v>0.28999999999999998</v>
      </c>
      <c r="D63" s="49">
        <f>IF(($E57&gt;0),D57,D56)</f>
        <v>0.2</v>
      </c>
      <c r="E63" s="49">
        <f>MAX(C63:D63)</f>
        <v>0.28999999999999998</v>
      </c>
      <c r="G63" s="1" t="str">
        <f>G57</f>
        <v>per 100 youth petitioned</v>
      </c>
      <c r="L63" s="58">
        <f>IF(($E57&gt;0),L57,L56)</f>
        <v>100</v>
      </c>
      <c r="M63" s="58"/>
    </row>
    <row r="64" spans="2:18" ht="15" hidden="1" customHeight="1">
      <c r="B64" s="49" t="str">
        <f>IF(($E58&gt;0),B58,B57)</f>
        <v>per 100 youth found delinquent</v>
      </c>
      <c r="C64" s="49">
        <f>IF(($E58&gt;0),C58,C57)</f>
        <v>0.27</v>
      </c>
      <c r="D64" s="49">
        <f>IF(($E58&gt;0),D58,D57)</f>
        <v>0.14000000000000001</v>
      </c>
      <c r="E64" s="56">
        <f>MAX(C64:D64)</f>
        <v>0.27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4.2690000000000001</v>
      </c>
      <c r="D66" s="56">
        <f>D60</f>
        <v>0.96</v>
      </c>
      <c r="E66" s="56">
        <f>MAX(C66:D66)</f>
        <v>4.2690000000000001</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0.01</v>
      </c>
      <c r="E67" s="49">
        <f>MAX(C67:D67)</f>
        <v>0.05</v>
      </c>
      <c r="G67" s="1" t="str">
        <f>G61</f>
        <v>per 100 arrests</v>
      </c>
      <c r="L67" s="58">
        <f>IF(($E61&gt;0),L61,L60)</f>
        <v>100</v>
      </c>
      <c r="M67" s="58">
        <f>IF((B67=G67),1,2)</f>
        <v>1</v>
      </c>
    </row>
    <row r="68" spans="2:13" ht="15" hidden="1" customHeight="1">
      <c r="B68" s="49" t="str">
        <f t="shared" si="12"/>
        <v>per 100 referrals</v>
      </c>
      <c r="C68" s="49">
        <f t="shared" si="12"/>
        <v>0.8</v>
      </c>
      <c r="D68" s="49">
        <f t="shared" si="12"/>
        <v>0.41</v>
      </c>
      <c r="E68" s="49">
        <f>MAX(C68:D68)</f>
        <v>0.8</v>
      </c>
      <c r="G68" s="1" t="str">
        <f>G62</f>
        <v>per 100 referrals</v>
      </c>
      <c r="L68" s="58">
        <f>IF(($E62&gt;0),L62,L61)</f>
        <v>100</v>
      </c>
      <c r="M68" s="58">
        <f>IF((B68=G68),1,2)</f>
        <v>1</v>
      </c>
    </row>
    <row r="69" spans="2:13" ht="15" hidden="1" customHeight="1">
      <c r="B69" s="49" t="str">
        <f>IF(($E63&gt;0),B63,B61)</f>
        <v>per 100 youth petitioned</v>
      </c>
      <c r="C69" s="49">
        <f>IF(($E63&gt;0),C63,C62)</f>
        <v>0.28999999999999998</v>
      </c>
      <c r="D69" s="49">
        <f>IF(($E63&gt;0),D63,D62)</f>
        <v>0.2</v>
      </c>
      <c r="E69" s="49">
        <f>MAX(C69:D69)</f>
        <v>0.28999999999999998</v>
      </c>
      <c r="G69" s="1" t="str">
        <f>G63</f>
        <v>per 100 youth petitioned</v>
      </c>
      <c r="L69" s="58">
        <f>IF(($E63&gt;0),L63,L62)</f>
        <v>100</v>
      </c>
      <c r="M69" s="58">
        <f>IF((B69=G69),1,2)</f>
        <v>1</v>
      </c>
    </row>
    <row r="70" spans="2:13" ht="15" hidden="1" customHeight="1">
      <c r="B70" s="49" t="str">
        <f>IF(($E64&gt;0),B64,B63)</f>
        <v>per 100 youth found delinquent</v>
      </c>
      <c r="C70" s="49">
        <f>IF(($E64&gt;0),C64,C63)</f>
        <v>0.27</v>
      </c>
      <c r="D70" s="49">
        <f>IF(($E64&gt;0),D64,D63)</f>
        <v>0.14000000000000001</v>
      </c>
      <c r="E70" s="56">
        <f>MAX(C70:D70)</f>
        <v>0.27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Cass</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f>'Black or African-American'!$G11</f>
        <v>1.3026819923371646</v>
      </c>
      <c r="D11" s="72" t="str">
        <f>Hispanic!G11</f>
        <v>**</v>
      </c>
      <c r="E11" s="72" t="str">
        <f>Asian!G11</f>
        <v>*</v>
      </c>
      <c r="F11" s="72" t="str">
        <f>Hawaiian!G11</f>
        <v>*</v>
      </c>
      <c r="G11" s="72" t="str">
        <f>'Am Indian'!G11</f>
        <v>**</v>
      </c>
      <c r="H11" s="72" t="str">
        <f>'Other - Mixed'!G11</f>
        <v>*</v>
      </c>
      <c r="I11" s="73">
        <f>'All Minorities'!G11</f>
        <v>1.3456686291000841</v>
      </c>
      <c r="L11" s="1">
        <f>'Black or African-American'!L11</f>
        <v>2</v>
      </c>
      <c r="M11" s="1">
        <f>Hispanic!L11</f>
        <v>40</v>
      </c>
      <c r="N11" s="1" t="e">
        <f>Asian!L11</f>
        <v>#VALUE!</v>
      </c>
      <c r="O11" s="1" t="e">
        <f>Hawaiian!L11</f>
        <v>#VALUE!</v>
      </c>
      <c r="P11" s="1">
        <f>'Am Indian'!L11</f>
        <v>40</v>
      </c>
      <c r="Q11" s="1">
        <f>'Other - Mixed'!L11</f>
        <v>139</v>
      </c>
      <c r="R11" s="1">
        <f>'All Minorities'!L11</f>
        <v>2</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20</v>
      </c>
      <c r="M12" s="1">
        <f>Hispanic!L12</f>
        <v>40</v>
      </c>
      <c r="N12" s="1" t="e">
        <f>Asian!L12</f>
        <v>#VALUE!</v>
      </c>
      <c r="O12" s="1" t="e">
        <f>Hawaiian!L12</f>
        <v>#VALUE!</v>
      </c>
      <c r="P12" s="1" t="e">
        <f>'Am Indian'!L12</f>
        <v>#VALUE!</v>
      </c>
      <c r="Q12" s="1">
        <f>'Other - Mixed'!L12</f>
        <v>139</v>
      </c>
      <c r="R12" s="1">
        <f>'All Minorities'!L12</f>
        <v>20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f>Hispanic!L13</f>
        <v>40</v>
      </c>
      <c r="N13" s="1" t="e">
        <f>Asian!L13</f>
        <v>#VALUE!</v>
      </c>
      <c r="O13" s="1" t="e">
        <f>Hawaiian!L13</f>
        <v>#VALUE!</v>
      </c>
      <c r="P13" s="1" t="e">
        <f>'Am Indian'!L13</f>
        <v>#VALUE!</v>
      </c>
      <c r="Q13" s="1">
        <f>'Other - Mixed'!L13</f>
        <v>139</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5229</v>
      </c>
      <c r="D3" s="57">
        <f>'Data Entry'!C6</f>
        <v>4269</v>
      </c>
      <c r="E3" s="57">
        <f>'Data Entry'!D6</f>
        <v>437</v>
      </c>
      <c r="F3" s="57">
        <f>'Data Entry'!E6</f>
        <v>385</v>
      </c>
      <c r="G3" s="57">
        <f>'Data Entry'!F6</f>
        <v>49</v>
      </c>
      <c r="H3" s="57">
        <f>'Data Entry'!G6</f>
        <v>0</v>
      </c>
      <c r="I3" s="57">
        <f>'Data Entry'!H6</f>
        <v>89</v>
      </c>
      <c r="J3" s="57">
        <f>'Data Entry'!I6</f>
        <v>0</v>
      </c>
      <c r="K3" s="57">
        <f>'Data Entry'!J6</f>
        <v>960</v>
      </c>
    </row>
    <row r="4" spans="2:11" ht="15" customHeight="1">
      <c r="B4" s="16" t="s">
        <v>8</v>
      </c>
      <c r="C4" s="1">
        <f>IF((C$3&gt;0),(1000*('Data Entry'!B7/'Data Entry'!B$6)), 0)</f>
        <v>1.1474469305794606</v>
      </c>
      <c r="D4" s="1">
        <f>IF((D$3&gt;0),(1000*('Data Entry'!C7/'Data Entry'!C$6)), 0)</f>
        <v>1.1712344811431248</v>
      </c>
      <c r="E4" s="1">
        <f>IF((E$3&gt;0),(1000*('Data Entry'!D7/'Data Entry'!D$6)), 0)</f>
        <v>2.2883295194508011</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1.0416666666666667</v>
      </c>
    </row>
    <row r="5" spans="2:11" ht="15" customHeight="1">
      <c r="B5" s="16" t="s">
        <v>9</v>
      </c>
      <c r="C5" s="1">
        <f>IF((C$3&gt;0),(1000*('Data Entry'!B8/'Data Entry'!B$6)), 0)</f>
        <v>24.287626697265253</v>
      </c>
      <c r="D5" s="1">
        <f>IF((D$3&gt;0),(1000*('Data Entry'!C8/'Data Entry'!C$6)), 0)</f>
        <v>18.739751698289997</v>
      </c>
      <c r="E5" s="1">
        <f>IF((E$3&gt;0),(1000*('Data Entry'!D8/'Data Entry'!D$6)), 0)</f>
        <v>82.379862700228827</v>
      </c>
      <c r="F5" s="1">
        <f>IF((F$3&gt;0),(1000*('Data Entry'!E8/'Data Entry'!E$6)), 0)</f>
        <v>5.1948051948051948</v>
      </c>
      <c r="G5" s="1">
        <f>IF((G$3&gt;0),(1000*('Data Entry'!F8/'Data Entry'!F$6)), 0)</f>
        <v>0</v>
      </c>
      <c r="H5" s="1">
        <f>IF((H$3&gt;0),(1000*('Data Entry'!G8/'Data Entry'!G$6)), 0)</f>
        <v>0</v>
      </c>
      <c r="I5" s="1">
        <f>IF((I$3&gt;0),(1000*('Data Entry'!H8/'Data Entry'!H$6)), 0)</f>
        <v>11.235955056179774</v>
      </c>
      <c r="J5" s="1">
        <f>IF((J$3&gt;0),(1000*('Data Entry'!I8/'Data Entry'!I$6)), 0)</f>
        <v>0</v>
      </c>
      <c r="K5" s="1">
        <f>IF((K$3&gt;0),(1000*('Data Entry'!J8/'Data Entry'!J$6)), 0)</f>
        <v>42.708333333333336</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10.135781220118568</v>
      </c>
      <c r="D8" s="1">
        <f>IF((D$3&gt;0),(1000*('Data Entry'!C11/'Data Entry'!C$6)), 0)</f>
        <v>6.7931599906301239</v>
      </c>
      <c r="E8" s="1">
        <f>IF((E$3&gt;0),(1000*('Data Entry'!D11/'Data Entry'!D$6)), 0)</f>
        <v>38.901601830663616</v>
      </c>
      <c r="F8" s="1">
        <f>IF((F$3&gt;0),(1000*('Data Entry'!E11/'Data Entry'!E$6)), 0)</f>
        <v>5.1948051948051948</v>
      </c>
      <c r="G8" s="1">
        <f>IF((G$3&gt;0),(1000*('Data Entry'!F11/'Data Entry'!F$6)), 0)</f>
        <v>0</v>
      </c>
      <c r="H8" s="1">
        <f>IF((H$3&gt;0),(1000*('Data Entry'!G11/'Data Entry'!G$6)), 0)</f>
        <v>0</v>
      </c>
      <c r="I8" s="1">
        <f>IF((I$3&gt;0),(1000*('Data Entry'!H11/'Data Entry'!H$6)), 0)</f>
        <v>0</v>
      </c>
      <c r="J8" s="1">
        <f>IF((J$3&gt;0),(1000*('Data Entry'!I11/'Data Entry'!I$6)), 0)</f>
        <v>0</v>
      </c>
      <c r="K8" s="1">
        <f>IF((K$3&gt;0),(1000*('Data Entry'!J11/'Data Entry'!J$6)), 0)</f>
        <v>20.833333333333332</v>
      </c>
    </row>
    <row r="9" spans="2:11" ht="15" customHeight="1">
      <c r="B9" s="16" t="s">
        <v>13</v>
      </c>
      <c r="C9" s="1">
        <f>IF((C$3&gt;0),(1000*('Data Entry'!B12/'Data Entry'!B$6)), 0)</f>
        <v>8.6058519793459549</v>
      </c>
      <c r="D9" s="1">
        <f>IF((D$3&gt;0),(1000*('Data Entry'!C12/'Data Entry'!C$6)), 0)</f>
        <v>6.3246661981728742</v>
      </c>
      <c r="E9" s="1">
        <f>IF((E$3&gt;0),(1000*('Data Entry'!D12/'Data Entry'!D$6)), 0)</f>
        <v>25.17162471395881</v>
      </c>
      <c r="F9" s="1">
        <f>IF((F$3&gt;0),(1000*('Data Entry'!E12/'Data Entry'!E$6)), 0)</f>
        <v>5.1948051948051948</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14.583333333333334</v>
      </c>
    </row>
    <row r="10" spans="2:11" ht="15" customHeight="1">
      <c r="B10" s="16" t="s">
        <v>14</v>
      </c>
      <c r="C10" s="1">
        <f>IF((C$3&gt;0),(1000*('Data Entry'!B13/'Data Entry'!B$6)), 0)</f>
        <v>10.900745840504877</v>
      </c>
      <c r="D10" s="1">
        <f>IF((D$3&gt;0),(1000*('Data Entry'!C13/'Data Entry'!C$6)), 0)</f>
        <v>9.3698758491449983</v>
      </c>
      <c r="E10" s="1">
        <f>IF((E$3&gt;0),(1000*('Data Entry'!D13/'Data Entry'!D$6)), 0)</f>
        <v>27.459954233409608</v>
      </c>
      <c r="F10" s="1">
        <f>IF((F$3&gt;0),(1000*('Data Entry'!E13/'Data Entry'!E$6)), 0)</f>
        <v>5.1948051948051948</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15.625</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Cass</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1.9537757437070942</v>
      </c>
      <c r="E19" s="72" t="str">
        <f t="shared" si="1"/>
        <v>--</v>
      </c>
      <c r="F19" s="72" t="str">
        <f t="shared" si="1"/>
        <v>--</v>
      </c>
      <c r="G19" s="72" t="str">
        <f t="shared" si="1"/>
        <v>--</v>
      </c>
      <c r="H19" s="72" t="str">
        <f t="shared" si="1"/>
        <v>--</v>
      </c>
      <c r="I19" s="72" t="str">
        <f t="shared" si="1"/>
        <v>--</v>
      </c>
      <c r="J19" s="73">
        <f t="shared" si="1"/>
        <v>0.88937500000000014</v>
      </c>
    </row>
    <row r="20" spans="2:10" ht="15" customHeight="1">
      <c r="B20" s="71" t="s">
        <v>9</v>
      </c>
      <c r="C20" s="72">
        <f t="shared" ref="C20:J27" si="2">IF(AND(($D5&gt;0),(D5&gt;0)), (D5/$D5),"--")</f>
        <v>1</v>
      </c>
      <c r="D20" s="72">
        <f t="shared" si="2"/>
        <v>4.3959954233409606</v>
      </c>
      <c r="E20" s="72">
        <f t="shared" si="2"/>
        <v>0.27720779220779224</v>
      </c>
      <c r="F20" s="72" t="str">
        <f t="shared" si="2"/>
        <v>--</v>
      </c>
      <c r="G20" s="72" t="str">
        <f t="shared" si="2"/>
        <v>--</v>
      </c>
      <c r="H20" s="72">
        <f t="shared" si="2"/>
        <v>0.59957865168539326</v>
      </c>
      <c r="I20" s="72" t="str">
        <f t="shared" si="2"/>
        <v>--</v>
      </c>
      <c r="J20" s="73">
        <f t="shared" si="2"/>
        <v>2.2790234375000002</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5.7265840763828617</v>
      </c>
      <c r="E23" s="72">
        <f t="shared" si="2"/>
        <v>0.76471115091804753</v>
      </c>
      <c r="F23" s="72" t="str">
        <f t="shared" si="2"/>
        <v>--</v>
      </c>
      <c r="G23" s="72" t="str">
        <f t="shared" si="2"/>
        <v>--</v>
      </c>
      <c r="H23" s="72" t="str">
        <f t="shared" si="2"/>
        <v>--</v>
      </c>
      <c r="I23" s="72" t="str">
        <f t="shared" si="2"/>
        <v>--</v>
      </c>
      <c r="J23" s="73">
        <f t="shared" si="2"/>
        <v>3.0668103448275863</v>
      </c>
    </row>
    <row r="24" spans="2:10" ht="15" customHeight="1">
      <c r="B24" s="71" t="s">
        <v>13</v>
      </c>
      <c r="C24" s="72">
        <f t="shared" si="2"/>
        <v>1</v>
      </c>
      <c r="D24" s="72">
        <f t="shared" si="2"/>
        <v>3.9799135519959319</v>
      </c>
      <c r="E24" s="72">
        <f t="shared" si="2"/>
        <v>0.8213564213564214</v>
      </c>
      <c r="F24" s="72" t="str">
        <f t="shared" si="2"/>
        <v>--</v>
      </c>
      <c r="G24" s="72" t="str">
        <f t="shared" si="2"/>
        <v>--</v>
      </c>
      <c r="H24" s="72" t="str">
        <f t="shared" si="2"/>
        <v>--</v>
      </c>
      <c r="I24" s="72" t="str">
        <f t="shared" si="2"/>
        <v>--</v>
      </c>
      <c r="J24" s="73">
        <f t="shared" si="2"/>
        <v>2.305787037037037</v>
      </c>
    </row>
    <row r="25" spans="2:10" ht="15" customHeight="1">
      <c r="B25" s="71" t="s">
        <v>14</v>
      </c>
      <c r="C25" s="72">
        <f t="shared" si="2"/>
        <v>1</v>
      </c>
      <c r="D25" s="72">
        <f t="shared" si="2"/>
        <v>2.9306636155606407</v>
      </c>
      <c r="E25" s="72">
        <f t="shared" si="2"/>
        <v>0.55441558441558447</v>
      </c>
      <c r="F25" s="72" t="str">
        <f t="shared" si="2"/>
        <v>--</v>
      </c>
      <c r="G25" s="72" t="str">
        <f t="shared" si="2"/>
        <v>--</v>
      </c>
      <c r="H25" s="72" t="str">
        <f t="shared" si="2"/>
        <v>--</v>
      </c>
      <c r="I25" s="72" t="str">
        <f t="shared" si="2"/>
        <v>--</v>
      </c>
      <c r="J25" s="73">
        <f t="shared" si="2"/>
        <v>1.6675781250000001</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Cass</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4269</v>
      </c>
      <c r="D7" s="104">
        <f>'Data Entry'!D6</f>
        <v>437</v>
      </c>
      <c r="E7" s="105"/>
      <c r="F7" s="106">
        <f>'Data Entry'!E6</f>
        <v>385</v>
      </c>
      <c r="G7" s="105"/>
      <c r="H7" s="106">
        <f>'Data Entry'!F6</f>
        <v>49</v>
      </c>
      <c r="I7" s="105"/>
      <c r="J7" s="106">
        <f>'Data Entry'!G6</f>
        <v>0</v>
      </c>
      <c r="K7" s="105"/>
      <c r="L7" s="106">
        <f>'Data Entry'!H6</f>
        <v>89</v>
      </c>
      <c r="M7" s="105"/>
      <c r="N7" s="106">
        <f>'Data Entry'!I6</f>
        <v>0</v>
      </c>
      <c r="O7" s="105"/>
      <c r="P7" s="106">
        <f>'Data Entry'!J6</f>
        <v>960</v>
      </c>
      <c r="Q7" s="107"/>
    </row>
    <row r="8" spans="2:26" s="1" customFormat="1" ht="15" customHeight="1">
      <c r="B8" s="142" t="s">
        <v>8</v>
      </c>
      <c r="C8" s="103">
        <f>'Data Entry'!C7</f>
        <v>5</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80</v>
      </c>
      <c r="D9" s="108">
        <f>'Data Entry'!D8</f>
        <v>36</v>
      </c>
      <c r="E9" s="109" t="str">
        <f>'Black or African-American'!$G8</f>
        <v>**</v>
      </c>
      <c r="F9" s="110">
        <f>'Data Entry'!E8</f>
        <v>2</v>
      </c>
      <c r="G9" s="109" t="str">
        <f>Hispanic!G8</f>
        <v>**</v>
      </c>
      <c r="H9" s="110">
        <f>'Data Entry'!F8</f>
        <v>0</v>
      </c>
      <c r="I9" s="109" t="str">
        <f>Asian!G8</f>
        <v>*</v>
      </c>
      <c r="J9" s="110">
        <f>'Data Entry'!G8</f>
        <v>0</v>
      </c>
      <c r="K9" s="109" t="str">
        <f>Hawaiian!G8</f>
        <v>*</v>
      </c>
      <c r="L9" s="110">
        <f>'Data Entry'!H8</f>
        <v>1</v>
      </c>
      <c r="M9" s="109" t="str">
        <f>'Am Indian'!G8</f>
        <v>**</v>
      </c>
      <c r="N9" s="110">
        <f>'Data Entry'!I8</f>
        <v>2</v>
      </c>
      <c r="O9" s="109" t="str">
        <f>'Other - Mixed'!G8</f>
        <v>*</v>
      </c>
      <c r="P9" s="110">
        <f>'Data Entry'!J8</f>
        <v>41</v>
      </c>
      <c r="Q9" s="111" t="str">
        <f>'All Minorities'!G8</f>
        <v>**</v>
      </c>
      <c r="R9"/>
      <c r="T9" s="1">
        <f>'Black or African-American'!L8</f>
        <v>40</v>
      </c>
      <c r="U9" s="1">
        <f>Hispanic!L8</f>
        <v>40</v>
      </c>
      <c r="V9" s="1">
        <f>Asian!L8</f>
        <v>139</v>
      </c>
      <c r="W9" s="1">
        <f>Hawaiian!L8</f>
        <v>139</v>
      </c>
      <c r="X9" s="1">
        <f>'Am Indian'!L8</f>
        <v>40</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29</v>
      </c>
      <c r="D12" s="112">
        <f>'Data Entry'!D11</f>
        <v>17</v>
      </c>
      <c r="E12" s="113">
        <f>'Black or African-American'!$G11</f>
        <v>1.3026819923371646</v>
      </c>
      <c r="F12" s="114">
        <f>'Data Entry'!E11</f>
        <v>2</v>
      </c>
      <c r="G12" s="113" t="str">
        <f>Hispanic!G11</f>
        <v>**</v>
      </c>
      <c r="H12" s="114">
        <f>'Data Entry'!F11</f>
        <v>0</v>
      </c>
      <c r="I12" s="113" t="str">
        <f>Asian!G11</f>
        <v>*</v>
      </c>
      <c r="J12" s="114">
        <f>'Data Entry'!G11</f>
        <v>0</v>
      </c>
      <c r="K12" s="113" t="str">
        <f>Hawaiian!G11</f>
        <v>*</v>
      </c>
      <c r="L12" s="114">
        <f>'Data Entry'!H11</f>
        <v>0</v>
      </c>
      <c r="M12" s="113" t="str">
        <f>'Am Indian'!G11</f>
        <v>**</v>
      </c>
      <c r="N12" s="114">
        <f>'Data Entry'!I11</f>
        <v>1</v>
      </c>
      <c r="O12" s="113" t="str">
        <f>'Other - Mixed'!G11</f>
        <v>*</v>
      </c>
      <c r="P12" s="114">
        <f>'Data Entry'!J11</f>
        <v>20</v>
      </c>
      <c r="Q12" s="115">
        <f>'All Minorities'!G11</f>
        <v>1.3456686291000841</v>
      </c>
      <c r="R12"/>
      <c r="T12" s="1">
        <f>'Black or African-American'!L11</f>
        <v>2</v>
      </c>
      <c r="U12" s="1">
        <f>Hispanic!L11</f>
        <v>40</v>
      </c>
      <c r="V12" s="1" t="e">
        <f>Asian!L11</f>
        <v>#VALUE!</v>
      </c>
      <c r="W12" s="1" t="e">
        <f>Hawaiian!L11</f>
        <v>#VALUE!</v>
      </c>
      <c r="X12" s="1">
        <f>'Am Indian'!L11</f>
        <v>40</v>
      </c>
      <c r="Y12" s="1">
        <f>'Other - Mixed'!L11</f>
        <v>139</v>
      </c>
      <c r="Z12" s="1">
        <f>'All Minorities'!L11</f>
        <v>2</v>
      </c>
    </row>
    <row r="13" spans="2:26" s="1" customFormat="1" ht="15" customHeight="1">
      <c r="B13" s="142" t="s">
        <v>13</v>
      </c>
      <c r="C13" s="103">
        <f>'Data Entry'!C12</f>
        <v>27</v>
      </c>
      <c r="D13" s="108">
        <f>'Data Entry'!D12</f>
        <v>11</v>
      </c>
      <c r="E13" s="109" t="str">
        <f>'Black or African-American'!$G12</f>
        <v>**</v>
      </c>
      <c r="F13" s="110">
        <f>'Data Entry'!E12</f>
        <v>2</v>
      </c>
      <c r="G13" s="109" t="str">
        <f>Hispanic!G12</f>
        <v>**</v>
      </c>
      <c r="H13" s="110">
        <f>'Data Entry'!F12</f>
        <v>0</v>
      </c>
      <c r="I13" s="109" t="str">
        <f>Asian!G12</f>
        <v>*</v>
      </c>
      <c r="J13" s="110">
        <f>'Data Entry'!G12</f>
        <v>0</v>
      </c>
      <c r="K13" s="109" t="str">
        <f>Hawaiian!G12</f>
        <v>*</v>
      </c>
      <c r="L13" s="110">
        <f>'Data Entry'!H12</f>
        <v>0</v>
      </c>
      <c r="M13" s="109" t="str">
        <f>'Am Indian'!G12</f>
        <v>--</v>
      </c>
      <c r="N13" s="110">
        <f>'Data Entry'!I12</f>
        <v>1</v>
      </c>
      <c r="O13" s="109" t="str">
        <f>'Other - Mixed'!G12</f>
        <v>*</v>
      </c>
      <c r="P13" s="110">
        <f>'Data Entry'!J12</f>
        <v>14</v>
      </c>
      <c r="Q13" s="111" t="str">
        <f>'All Minorities'!G12</f>
        <v>**</v>
      </c>
      <c r="R13"/>
      <c r="T13" s="1">
        <f>'Black or African-American'!L12</f>
        <v>20</v>
      </c>
      <c r="U13" s="1">
        <f>Hispanic!L12</f>
        <v>40</v>
      </c>
      <c r="V13" s="1" t="e">
        <f>Asian!L12</f>
        <v>#VALUE!</v>
      </c>
      <c r="W13" s="1" t="e">
        <f>Hawaiian!L12</f>
        <v>#VALUE!</v>
      </c>
      <c r="X13" s="1" t="e">
        <f>'Am Indian'!L12</f>
        <v>#VALUE!</v>
      </c>
      <c r="Y13" s="1">
        <f>'Other - Mixed'!L12</f>
        <v>139</v>
      </c>
      <c r="Z13" s="1">
        <f>'All Minorities'!L12</f>
        <v>20</v>
      </c>
    </row>
    <row r="14" spans="2:26" s="1" customFormat="1" ht="15" customHeight="1">
      <c r="B14" s="142" t="s">
        <v>133</v>
      </c>
      <c r="C14" s="103">
        <f>'Data Entry'!C13</f>
        <v>40</v>
      </c>
      <c r="D14" s="112">
        <f>'Data Entry'!D13</f>
        <v>12</v>
      </c>
      <c r="E14" s="113" t="str">
        <f>'Black or African-American'!$G13</f>
        <v>**</v>
      </c>
      <c r="F14" s="114">
        <f>'Data Entry'!E13</f>
        <v>2</v>
      </c>
      <c r="G14" s="113" t="str">
        <f>Hispanic!G13</f>
        <v>**</v>
      </c>
      <c r="H14" s="114">
        <f>'Data Entry'!F13</f>
        <v>0</v>
      </c>
      <c r="I14" s="113" t="str">
        <f>Asian!G13</f>
        <v>*</v>
      </c>
      <c r="J14" s="114">
        <f>'Data Entry'!G13</f>
        <v>0</v>
      </c>
      <c r="K14" s="113" t="str">
        <f>Hawaiian!G13</f>
        <v>*</v>
      </c>
      <c r="L14" s="114">
        <f>'Data Entry'!H13</f>
        <v>0</v>
      </c>
      <c r="M14" s="113" t="str">
        <f>'Am Indian'!G13</f>
        <v>--</v>
      </c>
      <c r="N14" s="114">
        <f>'Data Entry'!I13</f>
        <v>1</v>
      </c>
      <c r="O14" s="113" t="str">
        <f>'Other - Mixed'!G13</f>
        <v>*</v>
      </c>
      <c r="P14" s="114">
        <f>'Data Entry'!J13</f>
        <v>15</v>
      </c>
      <c r="Q14" s="115" t="str">
        <f>'All Minorities'!G13</f>
        <v>**</v>
      </c>
      <c r="R14"/>
      <c r="T14" s="1">
        <f>'Black or African-American'!L13</f>
        <v>40</v>
      </c>
      <c r="U14" s="1">
        <f>Hispanic!L13</f>
        <v>40</v>
      </c>
      <c r="V14" s="1" t="e">
        <f>Asian!L13</f>
        <v>#VALUE!</v>
      </c>
      <c r="W14" s="1" t="e">
        <f>Hawaiian!L13</f>
        <v>#VALUE!</v>
      </c>
      <c r="X14" s="1" t="e">
        <f>'Am Indian'!L13</f>
        <v>#VALUE!</v>
      </c>
      <c r="Y14" s="1">
        <f>'Other - Mixed'!L13</f>
        <v>139</v>
      </c>
      <c r="Z14" s="1">
        <f>'All Minorities'!L13</f>
        <v>40</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Cass</v>
      </c>
    </row>
    <row r="6" spans="1:12">
      <c r="A6" s="135" t="str">
        <f>CONCATENATE("Percentage of Minorities at Stages of the Juvenile Justice System, ", A5, " 2022")</f>
        <v>Percentage of Minorities at Stages of the Juvenile Justice System, County: Cass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4.4468749999999995</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4.4468749999999995</v>
      </c>
    </row>
    <row r="9" spans="1:12">
      <c r="A9" s="128" t="str">
        <f>CONCATENATE("Delinquent Findings, total N=", 'Data Entry'!B12)</f>
        <v>Delinquent Findings, total N=45</v>
      </c>
      <c r="B9" s="150">
        <f>'Data Entry'!D12/'Data Entry'!B12</f>
        <v>0.24444444444444444</v>
      </c>
      <c r="C9" s="150">
        <f>'Data Entry'!E12/'Data Entry'!B12</f>
        <v>4.4444444444444446E-2</v>
      </c>
      <c r="D9" s="150">
        <f>'Data Entry'!F12/'Data Entry'!B12</f>
        <v>0</v>
      </c>
      <c r="E9" s="150">
        <f>'Data Entry'!G12/'Data Entry'!B12</f>
        <v>0</v>
      </c>
      <c r="F9" s="150">
        <f>'Data Entry'!H12/'Data Entry'!B12</f>
        <v>0</v>
      </c>
      <c r="G9" s="150">
        <f>'Data Entry'!I12/'Data Entry'!B12</f>
        <v>2.2222222222222223E-2</v>
      </c>
      <c r="H9" s="150">
        <f>SUM(D9:G9)/'Data Entry'!B12</f>
        <v>4.9382716049382717E-4</v>
      </c>
      <c r="I9" s="150">
        <f>'Data Entry'!C12/'Data Entry'!B12</f>
        <v>0.6</v>
      </c>
      <c r="K9" s="96" t="str">
        <f t="shared" si="0"/>
        <v>Delinquent Findings, total N=45</v>
      </c>
      <c r="L9">
        <f>I14/(SUM(B14:G14))</f>
        <v>4.4468749999999995</v>
      </c>
    </row>
    <row r="10" spans="1:12">
      <c r="A10" s="128" t="str">
        <f>CONCATENATE("Petitions, total N=", 'Data Entry'!B11)</f>
        <v>Petitions, total N=53</v>
      </c>
      <c r="B10" s="150">
        <f>'Data Entry'!D11/'Data Entry'!B11</f>
        <v>0.32075471698113206</v>
      </c>
      <c r="C10" s="150">
        <f>'Data Entry'!E11/'Data Entry'!B11</f>
        <v>3.7735849056603772E-2</v>
      </c>
      <c r="D10" s="150">
        <f>'Data Entry'!F11/'Data Entry'!B11</f>
        <v>0</v>
      </c>
      <c r="E10" s="150">
        <f>'Data Entry'!G11/'Data Entry'!B11</f>
        <v>0</v>
      </c>
      <c r="F10" s="150">
        <f>'Data Entry'!H11/'Data Entry'!B11</f>
        <v>0</v>
      </c>
      <c r="G10" s="150">
        <f>'Data Entry'!I11/'Data Entry'!B11</f>
        <v>1.8867924528301886E-2</v>
      </c>
      <c r="H10" s="150">
        <f>SUM(D10:G10)/'Data Entry'!B11</f>
        <v>3.5599857600569594E-4</v>
      </c>
      <c r="I10" s="150">
        <f>'Data Entry'!C11/'Data Entry'!B11</f>
        <v>0.54716981132075471</v>
      </c>
      <c r="K10" s="96" t="str">
        <f t="shared" si="0"/>
        <v>Petitions, total N=53</v>
      </c>
      <c r="L10">
        <f>I14/(SUM(B14:G14))</f>
        <v>4.4468749999999995</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4.4468749999999995</v>
      </c>
    </row>
    <row r="12" spans="1:12">
      <c r="A12" s="128" t="str">
        <f>CONCATENATE("Referrals, total N=", 'Data Entry'!B8)</f>
        <v>Referrals, total N=127</v>
      </c>
      <c r="B12" s="150">
        <f>'Data Entry'!D8/'Data Entry'!B8</f>
        <v>0.28346456692913385</v>
      </c>
      <c r="C12" s="150">
        <f>'Data Entry'!E8/'Data Entry'!B8</f>
        <v>1.5748031496062992E-2</v>
      </c>
      <c r="D12" s="150">
        <f>'Data Entry'!F8/'Data Entry'!B8</f>
        <v>0</v>
      </c>
      <c r="E12" s="150">
        <f>'Data Entry'!G8/'Data Entry'!B8</f>
        <v>0</v>
      </c>
      <c r="F12" s="150">
        <f>'Data Entry'!H8/'Data Entry'!B8</f>
        <v>7.874015748031496E-3</v>
      </c>
      <c r="G12" s="150">
        <f>'Data Entry'!I8/'Data Entry'!B8</f>
        <v>1.5748031496062992E-2</v>
      </c>
      <c r="H12" s="150">
        <f>SUM(D12:G12)/'Data Entry'!B8</f>
        <v>1.8600037200074401E-4</v>
      </c>
      <c r="I12" s="150">
        <f>'Data Entry'!C8/'Data Entry'!B8</f>
        <v>0.62992125984251968</v>
      </c>
      <c r="K12" s="96" t="str">
        <f t="shared" si="0"/>
        <v>Referrals, total N=127</v>
      </c>
      <c r="L12">
        <f>I14/(SUM(B14:G14))</f>
        <v>4.4468749999999995</v>
      </c>
    </row>
    <row r="13" spans="1:12">
      <c r="A13" s="128" t="str">
        <f>CONCATENATE("Arrests, total N=", 'Data Entry'!B7)</f>
        <v>Arrests, total N=6</v>
      </c>
      <c r="B13" s="150">
        <f>'Data Entry'!D7/'Data Entry'!B7</f>
        <v>0.16666666666666666</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0.83333333333333337</v>
      </c>
      <c r="K13" s="96" t="str">
        <f t="shared" si="0"/>
        <v>Arrests, total N=6</v>
      </c>
      <c r="L13">
        <f>I14/(SUM(B14:G14))</f>
        <v>4.4468749999999995</v>
      </c>
    </row>
    <row r="14" spans="1:12">
      <c r="A14" s="128" t="str">
        <f>CONCATENATE("Population, total N=", 'Data Entry'!B6)</f>
        <v>Population, total N=5229</v>
      </c>
      <c r="B14" s="150">
        <f>'Data Entry'!D6/'Data Entry'!B6</f>
        <v>8.3572384777204051E-2</v>
      </c>
      <c r="C14" s="150">
        <f>'Data Entry'!E6/'Data Entry'!B6</f>
        <v>7.3627844712182061E-2</v>
      </c>
      <c r="D14" s="150">
        <f>'Data Entry'!F6/'Data Entry'!B6</f>
        <v>9.3708165997322627E-3</v>
      </c>
      <c r="E14" s="150">
        <f>'Data Entry'!G6/'Data Entry'!B6</f>
        <v>0</v>
      </c>
      <c r="F14" s="150">
        <f>'Data Entry'!H6/'Data Entry'!B6</f>
        <v>1.7020462803595333E-2</v>
      </c>
      <c r="G14" s="150">
        <f>'Data Entry'!I6/'Data Entry'!B6</f>
        <v>0</v>
      </c>
      <c r="H14" s="150">
        <f>SUM(D14:G14)/'Data Entry'!B6</f>
        <v>5.0470987575688656E-6</v>
      </c>
      <c r="I14" s="150">
        <f>'Data Entry'!C6/'Data Entry'!B6</f>
        <v>0.8164084911072863</v>
      </c>
      <c r="K14" s="96" t="str">
        <f t="shared" si="0"/>
        <v>Population, total N=5229</v>
      </c>
      <c r="L14">
        <f>I14/(SUM(B14:G14))</f>
        <v>4.4468749999999995</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Cass</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4269</v>
      </c>
      <c r="D7" s="104">
        <f>'Data Entry'!D6</f>
        <v>437</v>
      </c>
      <c r="E7" s="105"/>
      <c r="F7" s="106">
        <f>'Data Entry'!E6</f>
        <v>385</v>
      </c>
      <c r="G7" s="105"/>
      <c r="H7" s="106">
        <f>'Data Entry'!F6</f>
        <v>49</v>
      </c>
      <c r="I7" s="105"/>
      <c r="J7" s="106">
        <f>'Data Entry'!J6</f>
        <v>960</v>
      </c>
      <c r="K7" s="107"/>
    </row>
    <row r="8" spans="2:30" s="1" customFormat="1" ht="15" customHeight="1">
      <c r="B8" s="121" t="s">
        <v>8</v>
      </c>
      <c r="C8" s="103">
        <f>'Data Entry'!C7</f>
        <v>5</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80</v>
      </c>
      <c r="D9" s="108">
        <f>'Data Entry'!D8</f>
        <v>36</v>
      </c>
      <c r="E9" s="109" t="str">
        <f>'Black or African-American'!$G8</f>
        <v>**</v>
      </c>
      <c r="F9" s="110">
        <f>'Data Entry'!E8</f>
        <v>2</v>
      </c>
      <c r="G9" s="109" t="str">
        <f>Hispanic!G8</f>
        <v>**</v>
      </c>
      <c r="H9" s="110">
        <f>'Data Entry'!F8</f>
        <v>0</v>
      </c>
      <c r="I9" s="109" t="str">
        <f>Asian!G8</f>
        <v>*</v>
      </c>
      <c r="J9" s="110">
        <f>'Data Entry'!J8</f>
        <v>41</v>
      </c>
      <c r="K9" s="111" t="str">
        <f>'All Minorities'!G8</f>
        <v>**</v>
      </c>
      <c r="L9"/>
      <c r="N9" s="1">
        <f>'Black or African-American'!L8</f>
        <v>40</v>
      </c>
      <c r="O9" s="1">
        <f>Hispanic!L8</f>
        <v>40</v>
      </c>
      <c r="P9" s="1">
        <f>Asian!L8</f>
        <v>139</v>
      </c>
      <c r="Q9" s="1">
        <f>Hawaiian!L8</f>
        <v>139</v>
      </c>
      <c r="R9" s="1">
        <f>'Am Indian'!L8</f>
        <v>40</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29</v>
      </c>
      <c r="D12" s="112">
        <f>'Data Entry'!D11</f>
        <v>17</v>
      </c>
      <c r="E12" s="113">
        <f>'Black or African-American'!$G11</f>
        <v>1.3026819923371646</v>
      </c>
      <c r="F12" s="114">
        <f>'Data Entry'!E11</f>
        <v>2</v>
      </c>
      <c r="G12" s="113" t="str">
        <f>Hispanic!G11</f>
        <v>**</v>
      </c>
      <c r="H12" s="114">
        <f>'Data Entry'!F11</f>
        <v>0</v>
      </c>
      <c r="I12" s="113" t="str">
        <f>Asian!G11</f>
        <v>*</v>
      </c>
      <c r="J12" s="114">
        <f>'Data Entry'!J11</f>
        <v>20</v>
      </c>
      <c r="K12" s="115">
        <f>'All Minorities'!G11</f>
        <v>1.3456686291000841</v>
      </c>
      <c r="L12"/>
      <c r="N12" s="1">
        <f>'Black or African-American'!L11</f>
        <v>2</v>
      </c>
      <c r="O12" s="1">
        <f>Hispanic!L11</f>
        <v>40</v>
      </c>
      <c r="P12" s="1" t="e">
        <f>Asian!L11</f>
        <v>#VALUE!</v>
      </c>
      <c r="Q12" s="1" t="e">
        <f>Hawaiian!L11</f>
        <v>#VALUE!</v>
      </c>
      <c r="R12" s="1">
        <f>'Am Indian'!L11</f>
        <v>40</v>
      </c>
      <c r="S12" s="1">
        <f>'Other - Mixed'!L11</f>
        <v>139</v>
      </c>
      <c r="T12" s="1">
        <f>'All Minorities'!L11</f>
        <v>2</v>
      </c>
    </row>
    <row r="13" spans="2:30" s="1" customFormat="1" ht="15" customHeight="1">
      <c r="B13" s="121" t="s">
        <v>13</v>
      </c>
      <c r="C13" s="103">
        <f>'Data Entry'!C12</f>
        <v>27</v>
      </c>
      <c r="D13" s="108">
        <f>'Data Entry'!D12</f>
        <v>11</v>
      </c>
      <c r="E13" s="109" t="str">
        <f>'Black or African-American'!$G12</f>
        <v>**</v>
      </c>
      <c r="F13" s="110">
        <f>'Data Entry'!E12</f>
        <v>2</v>
      </c>
      <c r="G13" s="109" t="str">
        <f>Hispanic!G12</f>
        <v>**</v>
      </c>
      <c r="H13" s="110">
        <f>'Data Entry'!F12</f>
        <v>0</v>
      </c>
      <c r="I13" s="109" t="str">
        <f>Asian!G12</f>
        <v>*</v>
      </c>
      <c r="J13" s="110">
        <f>'Data Entry'!J12</f>
        <v>14</v>
      </c>
      <c r="K13" s="111" t="str">
        <f>'All Minorities'!G12</f>
        <v>**</v>
      </c>
      <c r="L13"/>
      <c r="N13" s="1">
        <f>'Black or African-American'!L12</f>
        <v>20</v>
      </c>
      <c r="O13" s="1">
        <f>Hispanic!L12</f>
        <v>40</v>
      </c>
      <c r="P13" s="1" t="e">
        <f>Asian!L12</f>
        <v>#VALUE!</v>
      </c>
      <c r="Q13" s="1" t="e">
        <f>Hawaiian!L12</f>
        <v>#VALUE!</v>
      </c>
      <c r="R13" s="1" t="e">
        <f>'Am Indian'!L12</f>
        <v>#VALUE!</v>
      </c>
      <c r="S13" s="1">
        <f>'Other - Mixed'!L12</f>
        <v>139</v>
      </c>
      <c r="T13" s="1">
        <f>'All Minorities'!L12</f>
        <v>20</v>
      </c>
      <c r="W13" s="8"/>
      <c r="X13" s="8"/>
      <c r="Y13" s="8"/>
      <c r="Z13" s="8"/>
      <c r="AA13" s="8"/>
      <c r="AB13" s="8"/>
      <c r="AC13" s="8"/>
      <c r="AD13" s="8"/>
    </row>
    <row r="14" spans="2:30" s="1" customFormat="1" ht="15" customHeight="1">
      <c r="B14" s="121" t="s">
        <v>14</v>
      </c>
      <c r="C14" s="103">
        <f>'Data Entry'!C13</f>
        <v>40</v>
      </c>
      <c r="D14" s="112">
        <f>'Data Entry'!D13</f>
        <v>12</v>
      </c>
      <c r="E14" s="113" t="str">
        <f>'Black or African-American'!$G13</f>
        <v>**</v>
      </c>
      <c r="F14" s="114">
        <f>'Data Entry'!E13</f>
        <v>2</v>
      </c>
      <c r="G14" s="113" t="str">
        <f>Hispanic!G13</f>
        <v>**</v>
      </c>
      <c r="H14" s="114">
        <f>'Data Entry'!F13</f>
        <v>0</v>
      </c>
      <c r="I14" s="113" t="str">
        <f>Asian!G13</f>
        <v>*</v>
      </c>
      <c r="J14" s="114">
        <f>'Data Entry'!J13</f>
        <v>15</v>
      </c>
      <c r="K14" s="115" t="str">
        <f>'All Minorities'!G13</f>
        <v>**</v>
      </c>
      <c r="L14"/>
      <c r="N14" s="1">
        <f>'Black or African-American'!L13</f>
        <v>40</v>
      </c>
      <c r="O14" s="1">
        <f>Hispanic!L13</f>
        <v>40</v>
      </c>
      <c r="P14" s="1" t="e">
        <f>Asian!L13</f>
        <v>#VALUE!</v>
      </c>
      <c r="Q14" s="1" t="e">
        <f>Hawaiian!L13</f>
        <v>#VALUE!</v>
      </c>
      <c r="R14" s="1" t="e">
        <f>'Am Indian'!L13</f>
        <v>#VALUE!</v>
      </c>
      <c r="S14" s="1">
        <f>'Other - Mixed'!L13</f>
        <v>139</v>
      </c>
      <c r="T14" s="1">
        <f>'All Minorities'!L13</f>
        <v>40</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Cass</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4269</v>
      </c>
      <c r="D6" s="34"/>
      <c r="E6" s="33">
        <f>'Data Entry'!D6</f>
        <v>437</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1.1712344811431248</v>
      </c>
      <c r="E7" s="33">
        <f>'Data Entry'!D7</f>
        <v>1</v>
      </c>
      <c r="F7" s="34">
        <f>IF((AND($E$7&gt;0,$D$66&gt;0)),($E$7/$D$66),0)</f>
        <v>2.2883295194508011</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436</v>
      </c>
      <c r="P7" s="42">
        <f t="shared" ref="P7:P15" si="2">C7</f>
        <v>5</v>
      </c>
      <c r="Q7" s="42">
        <f>C6-C7</f>
        <v>4264</v>
      </c>
      <c r="R7" s="42">
        <f t="shared" ref="R7:R15" si="3">SUM(N7:Q7)</f>
        <v>4706</v>
      </c>
      <c r="S7" s="30">
        <f t="shared" ref="S7:S15" si="4">R7*((((N7*Q7)-(O7*P7))^2))</f>
        <v>20438421536</v>
      </c>
      <c r="T7" s="30">
        <f t="shared" ref="T7:T15" si="5">(N7+O7)*(P7+Q7)*(N7+P7)*(O7+Q7)</f>
        <v>52608594600</v>
      </c>
      <c r="U7" s="31">
        <f t="shared" ref="U7:U15" si="6">IF((S7&gt;0),S7/T7,"- -")</f>
        <v>0.38849966799911434</v>
      </c>
    </row>
    <row r="8" spans="2:21" ht="18" customHeight="1">
      <c r="B8" s="32" t="str">
        <f>'Data Entry'!A8</f>
        <v>3. Refer to Juvenile Court</v>
      </c>
      <c r="C8" s="33">
        <f>'Data Entry'!C8</f>
        <v>80</v>
      </c>
      <c r="D8" s="34">
        <f>IF((AND(C67&gt;0,C8&gt;0)),(C8/C67),0)</f>
        <v>1600</v>
      </c>
      <c r="E8" s="33">
        <f>'Data Entry'!D8</f>
        <v>36</v>
      </c>
      <c r="F8" s="34">
        <f>IF((AND($E$8&gt;0,$D$67&gt;0)),($E8/$D67),0)</f>
        <v>3600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36</v>
      </c>
      <c r="O8" s="42">
        <f>((D67*L67)-E8)+0.05</f>
        <v>-34.950000000000003</v>
      </c>
      <c r="P8" s="42">
        <f t="shared" si="2"/>
        <v>80</v>
      </c>
      <c r="Q8" s="42">
        <f>(C$67*L67)-C8</f>
        <v>-75</v>
      </c>
      <c r="R8" s="42">
        <f t="shared" si="3"/>
        <v>6.0499999999999972</v>
      </c>
      <c r="S8" s="30">
        <f t="shared" si="4"/>
        <v>55756.799999999974</v>
      </c>
      <c r="T8" s="30">
        <f t="shared" si="5"/>
        <v>-66959.549999999828</v>
      </c>
      <c r="U8" s="31">
        <f t="shared" si="6"/>
        <v>-0.83269376810328199</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36</v>
      </c>
      <c r="P9" s="42">
        <f t="shared" si="2"/>
        <v>0</v>
      </c>
      <c r="Q9" s="42">
        <f>(C$68*L68)-C9</f>
        <v>80</v>
      </c>
      <c r="R9" s="42">
        <f t="shared" si="3"/>
        <v>116</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36</v>
      </c>
      <c r="P10" s="42">
        <f t="shared" si="2"/>
        <v>0</v>
      </c>
      <c r="Q10" s="42">
        <f>(C$68*L68)-C10</f>
        <v>80</v>
      </c>
      <c r="R10" s="42">
        <f t="shared" si="3"/>
        <v>116</v>
      </c>
      <c r="S10" s="30">
        <f t="shared" si="4"/>
        <v>0</v>
      </c>
      <c r="T10" s="30">
        <f t="shared" si="5"/>
        <v>0</v>
      </c>
      <c r="U10" s="31" t="str">
        <f t="shared" si="6"/>
        <v>- -</v>
      </c>
    </row>
    <row r="11" spans="2:21" ht="18" customHeight="1">
      <c r="B11" s="32" t="str">
        <f>'Data Entry'!A11</f>
        <v>6. Cases Petitioned (Charge Filed)</v>
      </c>
      <c r="C11" s="33">
        <f>'Data Entry'!C11</f>
        <v>29</v>
      </c>
      <c r="D11" s="34">
        <f>IF(((AND(C68&gt;0,C11&gt;0))),(C11/(C68)),0)</f>
        <v>36.25</v>
      </c>
      <c r="E11" s="33">
        <f>'Data Entry'!D11</f>
        <v>17</v>
      </c>
      <c r="F11" s="34">
        <f>IF(((AND($E$11&gt;0,$D$68&gt;0))),($E$11/($D$68)),0)</f>
        <v>47.222222222222221</v>
      </c>
      <c r="G11" s="39">
        <f t="shared" si="7"/>
        <v>1.3026819923371646</v>
      </c>
      <c r="H11" s="40"/>
      <c r="I11" s="41"/>
      <c r="J11" s="40">
        <f>IF((ABS($U11)&gt;Defaults!D$7),1,2)</f>
        <v>2</v>
      </c>
      <c r="K11" s="39">
        <f>IF((AND(N11&gt;Defaults!B$12,(N11+O11)&gt;Defaults!B$13, P11 &gt; Defaults!B$12, (P11+Q11) &gt; Defaults!B$13)),1,20)</f>
        <v>1</v>
      </c>
      <c r="L11" s="1">
        <f t="shared" si="8"/>
        <v>2</v>
      </c>
      <c r="M11" s="1" t="b">
        <f t="shared" si="0"/>
        <v>1</v>
      </c>
      <c r="N11" s="42">
        <f t="shared" si="1"/>
        <v>17</v>
      </c>
      <c r="O11" s="42">
        <f>(D$68*L68)-E11</f>
        <v>19</v>
      </c>
      <c r="P11" s="42">
        <f t="shared" si="2"/>
        <v>29</v>
      </c>
      <c r="Q11" s="42">
        <f>(C$68*L68)-C11</f>
        <v>51</v>
      </c>
      <c r="R11" s="42">
        <f t="shared" si="3"/>
        <v>116</v>
      </c>
      <c r="S11" s="30">
        <f t="shared" si="4"/>
        <v>11583296</v>
      </c>
      <c r="T11" s="30">
        <f t="shared" si="5"/>
        <v>9273600</v>
      </c>
      <c r="U11" s="31">
        <f t="shared" si="6"/>
        <v>1.2490614216701172</v>
      </c>
    </row>
    <row r="12" spans="2:21" ht="18" customHeight="1">
      <c r="B12" s="32" t="str">
        <f>'Data Entry'!A12</f>
        <v>7. Cases Resulting in Delinquent Findings</v>
      </c>
      <c r="C12" s="33">
        <f>'Data Entry'!C12</f>
        <v>27</v>
      </c>
      <c r="D12" s="34">
        <f>IF(((AND(C69&gt;0,C12&gt;0))),(C12/(C69)),0)</f>
        <v>93.103448275862078</v>
      </c>
      <c r="E12" s="33">
        <f>'Data Entry'!D12</f>
        <v>11</v>
      </c>
      <c r="F12" s="34">
        <f>IF(((AND($D$69&gt;0,$E$12&gt;0))),(E12/(D69)),0)</f>
        <v>64.705882352941174</v>
      </c>
      <c r="G12" s="39" t="str">
        <f t="shared" si="7"/>
        <v>**</v>
      </c>
      <c r="H12" s="40"/>
      <c r="I12" s="41"/>
      <c r="J12" s="40">
        <f>IF((ABS($U12)&gt;Defaults!D$7),1,2)</f>
        <v>1</v>
      </c>
      <c r="K12" s="39">
        <f>IF((AND(N12&gt;Defaults!B$12,(N12+O12)&gt;Defaults!B$13, P12 &gt; Defaults!B$12, (P12+Q12) &gt; Defaults!B$13)),1,20)</f>
        <v>20</v>
      </c>
      <c r="L12" s="1">
        <f t="shared" si="8"/>
        <v>20</v>
      </c>
      <c r="M12" s="1" t="b">
        <f t="shared" si="0"/>
        <v>1</v>
      </c>
      <c r="N12" s="42">
        <f t="shared" si="1"/>
        <v>11</v>
      </c>
      <c r="O12" s="42">
        <f>(D69*L69)-E12</f>
        <v>6</v>
      </c>
      <c r="P12" s="42">
        <f t="shared" si="2"/>
        <v>27</v>
      </c>
      <c r="Q12" s="42">
        <f>(C69*L69)-C12</f>
        <v>1.9999999999999964</v>
      </c>
      <c r="R12" s="42">
        <f t="shared" si="3"/>
        <v>46</v>
      </c>
      <c r="S12" s="30">
        <f t="shared" si="4"/>
        <v>901600.00000000035</v>
      </c>
      <c r="T12" s="30">
        <f t="shared" si="5"/>
        <v>149871.99999999991</v>
      </c>
      <c r="U12" s="31">
        <f t="shared" si="6"/>
        <v>6.0158001494608788</v>
      </c>
    </row>
    <row r="13" spans="2:21" ht="18" customHeight="1">
      <c r="B13" s="32" t="str">
        <f>'Data Entry'!A13</f>
        <v>8. Cases Resulting in Probation Placement</v>
      </c>
      <c r="C13" s="33">
        <f>'Data Entry'!C13</f>
        <v>40</v>
      </c>
      <c r="D13" s="34">
        <f>IF(((AND(C70&gt;0,C13&gt;0))),(C13/(C70)),0)</f>
        <v>148.14814814814815</v>
      </c>
      <c r="E13" s="33">
        <f>'Data Entry'!D13</f>
        <v>12</v>
      </c>
      <c r="F13" s="34">
        <f>IF(((AND($D$70&gt;0,$E$13&gt;0))),($E$13/($D$70)),0)</f>
        <v>109.09090909090909</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12</v>
      </c>
      <c r="O13" s="42">
        <f>(D70*L70)-E13</f>
        <v>-1</v>
      </c>
      <c r="P13" s="42">
        <f t="shared" si="2"/>
        <v>40</v>
      </c>
      <c r="Q13" s="42">
        <f>(C70*L70)-C13</f>
        <v>-13</v>
      </c>
      <c r="R13" s="42">
        <f t="shared" si="3"/>
        <v>38</v>
      </c>
      <c r="S13" s="30">
        <f t="shared" si="4"/>
        <v>511328</v>
      </c>
      <c r="T13" s="30">
        <f t="shared" si="5"/>
        <v>-216216</v>
      </c>
      <c r="U13" s="31">
        <f t="shared" si="6"/>
        <v>-2.364894364894365</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11</v>
      </c>
      <c r="P14" s="42">
        <f t="shared" si="2"/>
        <v>0</v>
      </c>
      <c r="Q14" s="42">
        <f>(C70*L70)-C14</f>
        <v>27</v>
      </c>
      <c r="R14" s="42">
        <f t="shared" si="3"/>
        <v>38</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17</v>
      </c>
      <c r="P15" s="42">
        <f t="shared" si="2"/>
        <v>0</v>
      </c>
      <c r="Q15" s="42">
        <f>(C69*L69)-C15</f>
        <v>28.999999999999996</v>
      </c>
      <c r="R15" s="42">
        <f t="shared" si="3"/>
        <v>46</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4.2690000000000001</v>
      </c>
      <c r="D42" s="56">
        <f>E6/1000</f>
        <v>0.437</v>
      </c>
      <c r="E42" s="56">
        <f>MAX(C42:D42)</f>
        <v>4.2690000000000001</v>
      </c>
      <c r="G42" s="1" t="str">
        <f>B42</f>
        <v>per 1000 youth</v>
      </c>
      <c r="L42" s="57">
        <v>1000</v>
      </c>
      <c r="M42" s="57"/>
      <c r="R42" s="49"/>
    </row>
    <row r="43" spans="2:18" ht="15" hidden="1" customHeight="1">
      <c r="B43" s="49" t="s">
        <v>87</v>
      </c>
      <c r="C43" s="56">
        <f>C7/100</f>
        <v>0.05</v>
      </c>
      <c r="D43" s="56">
        <f>E7/100</f>
        <v>0.01</v>
      </c>
      <c r="E43" s="56">
        <f>MAX(C43:D43,0)</f>
        <v>0.05</v>
      </c>
      <c r="G43" s="1" t="str">
        <f>B43</f>
        <v>per 100 arrests</v>
      </c>
      <c r="L43" s="57">
        <v>100</v>
      </c>
      <c r="M43" s="57"/>
      <c r="R43" s="49"/>
    </row>
    <row r="44" spans="2:18" ht="15" hidden="1" customHeight="1">
      <c r="B44" s="49" t="s">
        <v>88</v>
      </c>
      <c r="C44" s="56">
        <f>C8/100</f>
        <v>0.8</v>
      </c>
      <c r="D44" s="56">
        <f>E8/100</f>
        <v>0.36</v>
      </c>
      <c r="E44" s="56">
        <f>MAX(C44:D44,0)</f>
        <v>0.8</v>
      </c>
      <c r="G44" s="1" t="str">
        <f>B44</f>
        <v>per 100 referrals</v>
      </c>
      <c r="L44" s="57">
        <v>100</v>
      </c>
      <c r="M44" s="57"/>
      <c r="R44" s="49"/>
    </row>
    <row r="45" spans="2:18" ht="15" hidden="1" customHeight="1">
      <c r="B45" s="49" t="s">
        <v>89</v>
      </c>
      <c r="C45" s="49">
        <f>C11/100</f>
        <v>0.28999999999999998</v>
      </c>
      <c r="D45" s="49">
        <f>E11/100</f>
        <v>0.17</v>
      </c>
      <c r="E45" s="56">
        <f>MAX(C45:D45,0)</f>
        <v>0.28999999999999998</v>
      </c>
      <c r="G45" s="1" t="str">
        <f>B45</f>
        <v>per 100 youth petitioned</v>
      </c>
      <c r="L45" s="57">
        <v>100</v>
      </c>
      <c r="M45" s="57"/>
      <c r="R45" s="49"/>
    </row>
    <row r="46" spans="2:18" ht="15" hidden="1" customHeight="1">
      <c r="B46" s="49" t="s">
        <v>90</v>
      </c>
      <c r="C46" s="49">
        <f>C12/100</f>
        <v>0.27</v>
      </c>
      <c r="D46" s="49">
        <f>E12/100</f>
        <v>0.11</v>
      </c>
      <c r="E46" s="56">
        <f>MAX(C46:D46)</f>
        <v>0.27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4.2690000000000001</v>
      </c>
      <c r="D48" s="56">
        <f>D42</f>
        <v>0.437</v>
      </c>
      <c r="E48" s="56">
        <f>MAX(C48:D48)</f>
        <v>4.2690000000000001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0.05</v>
      </c>
      <c r="D49" s="49">
        <f t="shared" si="9"/>
        <v>0.01</v>
      </c>
      <c r="E49" s="49">
        <f>MAX(C49:D49)</f>
        <v>0.05</v>
      </c>
      <c r="G49" s="1" t="str">
        <f>G43</f>
        <v>per 100 arrests</v>
      </c>
      <c r="L49" s="58">
        <f>IF(($E43&gt;0),L43,L42)</f>
        <v>100</v>
      </c>
      <c r="M49" s="58"/>
      <c r="N49" s="21"/>
      <c r="O49" s="21"/>
      <c r="P49" s="21"/>
      <c r="Q49" s="21"/>
      <c r="R49" s="21"/>
    </row>
    <row r="50" spans="2:18" ht="15" hidden="1" customHeight="1">
      <c r="B50" s="49" t="str">
        <f t="shared" si="9"/>
        <v>per 100 referrals</v>
      </c>
      <c r="C50" s="49">
        <f t="shared" si="9"/>
        <v>0.8</v>
      </c>
      <c r="D50" s="49">
        <f t="shared" si="9"/>
        <v>0.36</v>
      </c>
      <c r="E50" s="49">
        <f>MAX(C50:D50)</f>
        <v>0.8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0.28999999999999998</v>
      </c>
      <c r="D51" s="49">
        <f>IF(($E45&gt;0),D45,D44)</f>
        <v>0.17</v>
      </c>
      <c r="E51" s="49">
        <f>MAX(C51:D51)</f>
        <v>0.28999999999999998</v>
      </c>
      <c r="G51" s="1" t="str">
        <f>G45</f>
        <v>per 100 youth petitioned</v>
      </c>
      <c r="L51" s="58">
        <f>IF(($E45&gt;0),L45,L44)</f>
        <v>100</v>
      </c>
      <c r="M51" s="58"/>
    </row>
    <row r="52" spans="2:18" ht="15" hidden="1" customHeight="1">
      <c r="B52" s="49" t="str">
        <f>IF(($E46&gt;0),B46,B45)</f>
        <v>per 100 youth found delinquent</v>
      </c>
      <c r="C52" s="49">
        <f>IF(($E46&gt;0),C46,C45)</f>
        <v>0.27</v>
      </c>
      <c r="D52" s="49">
        <f>IF(($E46&gt;0),D46,D45)</f>
        <v>0.11</v>
      </c>
      <c r="E52" s="56">
        <f>MAX(C52:D52)</f>
        <v>0.27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4.2690000000000001</v>
      </c>
      <c r="D54" s="56">
        <f>D48</f>
        <v>0.437</v>
      </c>
      <c r="E54" s="56">
        <f>MAX(C54:D54)</f>
        <v>4.2690000000000001</v>
      </c>
      <c r="G54" s="1" t="str">
        <f>G48</f>
        <v>per 1000 youth</v>
      </c>
      <c r="L54" s="58">
        <f>L48</f>
        <v>1000</v>
      </c>
      <c r="M54" s="58"/>
    </row>
    <row r="55" spans="2:18" ht="15" hidden="1" customHeight="1">
      <c r="B55" s="49" t="str">
        <f t="shared" ref="B55:D56" si="10">IF(($E49&gt;0),B49,B48)</f>
        <v>per 100 arrests</v>
      </c>
      <c r="C55" s="49">
        <f t="shared" si="10"/>
        <v>0.05</v>
      </c>
      <c r="D55" s="49">
        <f t="shared" si="10"/>
        <v>0.01</v>
      </c>
      <c r="E55" s="49">
        <f>MAX(C55:D55)</f>
        <v>0.05</v>
      </c>
      <c r="G55" s="1" t="str">
        <f>G49</f>
        <v>per 100 arrests</v>
      </c>
      <c r="L55" s="58">
        <f>IF(($E49&gt;0),L49,L48)</f>
        <v>100</v>
      </c>
      <c r="M55" s="58"/>
    </row>
    <row r="56" spans="2:18" ht="15" hidden="1" customHeight="1">
      <c r="B56" s="49" t="str">
        <f t="shared" si="10"/>
        <v>per 100 referrals</v>
      </c>
      <c r="C56" s="49">
        <f t="shared" si="10"/>
        <v>0.8</v>
      </c>
      <c r="D56" s="49">
        <f t="shared" si="10"/>
        <v>0.36</v>
      </c>
      <c r="E56" s="49">
        <f>MAX(C56:D56)</f>
        <v>0.8</v>
      </c>
      <c r="G56" s="1" t="str">
        <f>G50</f>
        <v>per 100 referrals</v>
      </c>
      <c r="L56" s="58">
        <f>IF(($E50&gt;0),L50,L49)</f>
        <v>100</v>
      </c>
      <c r="M56" s="58"/>
    </row>
    <row r="57" spans="2:18" ht="15" hidden="1" customHeight="1">
      <c r="B57" s="49" t="str">
        <f>IF(($E51&gt;0),B51,B49)</f>
        <v>per 100 youth petitioned</v>
      </c>
      <c r="C57" s="49">
        <f>IF(($E51&gt;0),C51,C50)</f>
        <v>0.28999999999999998</v>
      </c>
      <c r="D57" s="49">
        <f>IF(($E51&gt;0),D51,D50)</f>
        <v>0.17</v>
      </c>
      <c r="E57" s="49">
        <f>MAX(C57:D57)</f>
        <v>0.28999999999999998</v>
      </c>
      <c r="G57" s="1" t="str">
        <f>G51</f>
        <v>per 100 youth petitioned</v>
      </c>
      <c r="L57" s="58">
        <f>IF(($E51&gt;0),L51,L50)</f>
        <v>100</v>
      </c>
      <c r="M57" s="58"/>
    </row>
    <row r="58" spans="2:18" ht="15" hidden="1" customHeight="1">
      <c r="B58" s="49" t="str">
        <f>IF(($E52&gt;0),B52,B51)</f>
        <v>per 100 youth found delinquent</v>
      </c>
      <c r="C58" s="49">
        <f>IF(($E52&gt;0),C52,C51)</f>
        <v>0.27</v>
      </c>
      <c r="D58" s="49">
        <f>IF(($E52&gt;0),D52,D51)</f>
        <v>0.11</v>
      </c>
      <c r="E58" s="56">
        <f>MAX(C58:D58)</f>
        <v>0.27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4.2690000000000001</v>
      </c>
      <c r="D60" s="56">
        <f>D54</f>
        <v>0.437</v>
      </c>
      <c r="E60" s="56">
        <f>MAX(C60:D60)</f>
        <v>4.2690000000000001</v>
      </c>
      <c r="G60" s="1" t="str">
        <f>G54</f>
        <v>per 1000 youth</v>
      </c>
      <c r="L60" s="58">
        <f>L54</f>
        <v>1000</v>
      </c>
      <c r="M60" s="58"/>
    </row>
    <row r="61" spans="2:18" ht="15" hidden="1" customHeight="1">
      <c r="B61" s="49" t="str">
        <f t="shared" ref="B61:D62" si="11">IF(($E55&gt;0),B55,B54)</f>
        <v>per 100 arrests</v>
      </c>
      <c r="C61" s="49">
        <f t="shared" si="11"/>
        <v>0.05</v>
      </c>
      <c r="D61" s="49">
        <f t="shared" si="11"/>
        <v>0.01</v>
      </c>
      <c r="E61" s="49">
        <f>MAX(C61:D61)</f>
        <v>0.05</v>
      </c>
      <c r="G61" s="1" t="str">
        <f>G55</f>
        <v>per 100 arrests</v>
      </c>
      <c r="L61" s="58">
        <f>IF(($E55&gt;0),L55,L54)</f>
        <v>100</v>
      </c>
      <c r="M61" s="58"/>
    </row>
    <row r="62" spans="2:18" ht="15" hidden="1" customHeight="1">
      <c r="B62" s="49" t="str">
        <f t="shared" si="11"/>
        <v>per 100 referrals</v>
      </c>
      <c r="C62" s="49">
        <f t="shared" si="11"/>
        <v>0.8</v>
      </c>
      <c r="D62" s="49">
        <f t="shared" si="11"/>
        <v>0.36</v>
      </c>
      <c r="E62" s="49">
        <f>MAX(C62:D62)</f>
        <v>0.8</v>
      </c>
      <c r="G62" s="1" t="str">
        <f>G56</f>
        <v>per 100 referrals</v>
      </c>
      <c r="L62" s="58">
        <f>IF(($E56&gt;0),L56,L55)</f>
        <v>100</v>
      </c>
      <c r="M62" s="58"/>
    </row>
    <row r="63" spans="2:18" ht="15" hidden="1" customHeight="1">
      <c r="B63" s="49" t="str">
        <f>IF(($E57&gt;0),B57,B55)</f>
        <v>per 100 youth petitioned</v>
      </c>
      <c r="C63" s="49">
        <f>IF(($E57&gt;0),C57,C56)</f>
        <v>0.28999999999999998</v>
      </c>
      <c r="D63" s="49">
        <f>IF(($E57&gt;0),D57,D56)</f>
        <v>0.17</v>
      </c>
      <c r="E63" s="49">
        <f>MAX(C63:D63)</f>
        <v>0.28999999999999998</v>
      </c>
      <c r="G63" s="1" t="str">
        <f>G57</f>
        <v>per 100 youth petitioned</v>
      </c>
      <c r="L63" s="58">
        <f>IF(($E57&gt;0),L57,L56)</f>
        <v>100</v>
      </c>
      <c r="M63" s="58"/>
    </row>
    <row r="64" spans="2:18" ht="15" hidden="1" customHeight="1">
      <c r="B64" s="49" t="str">
        <f>IF(($E58&gt;0),B58,B57)</f>
        <v>per 100 youth found delinquent</v>
      </c>
      <c r="C64" s="49">
        <f>IF(($E58&gt;0),C58,C57)</f>
        <v>0.27</v>
      </c>
      <c r="D64" s="49">
        <f>IF(($E58&gt;0),D58,D57)</f>
        <v>0.11</v>
      </c>
      <c r="E64" s="56">
        <f>MAX(C64:D64)</f>
        <v>0.27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4.2690000000000001</v>
      </c>
      <c r="D66" s="56">
        <f>D60</f>
        <v>0.437</v>
      </c>
      <c r="E66" s="56">
        <f>MAX(C66:D66)</f>
        <v>4.2690000000000001</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0.01</v>
      </c>
      <c r="E67" s="49">
        <f>MAX(C67:D67)</f>
        <v>0.05</v>
      </c>
      <c r="G67" s="1" t="str">
        <f>G61</f>
        <v>per 100 arrests</v>
      </c>
      <c r="L67" s="58">
        <f>IF(($E61&gt;0),L61,L60)</f>
        <v>100</v>
      </c>
      <c r="M67" s="58">
        <f>IF((B67=G67),1,2)</f>
        <v>1</v>
      </c>
    </row>
    <row r="68" spans="2:13" ht="15" hidden="1" customHeight="1">
      <c r="B68" s="49" t="str">
        <f t="shared" si="12"/>
        <v>per 100 referrals</v>
      </c>
      <c r="C68" s="49">
        <f t="shared" si="12"/>
        <v>0.8</v>
      </c>
      <c r="D68" s="49">
        <f t="shared" si="12"/>
        <v>0.36</v>
      </c>
      <c r="E68" s="49">
        <f>MAX(C68:D68)</f>
        <v>0.8</v>
      </c>
      <c r="G68" s="1" t="str">
        <f>G62</f>
        <v>per 100 referrals</v>
      </c>
      <c r="L68" s="58">
        <f>IF(($E62&gt;0),L62,L61)</f>
        <v>100</v>
      </c>
      <c r="M68" s="58">
        <f>IF((B68=G68),1,2)</f>
        <v>1</v>
      </c>
    </row>
    <row r="69" spans="2:13" ht="15" hidden="1" customHeight="1">
      <c r="B69" s="49" t="str">
        <f>IF(($E63&gt;0),B63,B61)</f>
        <v>per 100 youth petitioned</v>
      </c>
      <c r="C69" s="49">
        <f>IF(($E63&gt;0),C63,C62)</f>
        <v>0.28999999999999998</v>
      </c>
      <c r="D69" s="49">
        <f>IF(($E63&gt;0),D63,D62)</f>
        <v>0.17</v>
      </c>
      <c r="E69" s="49">
        <f>MAX(C69:D69)</f>
        <v>0.28999999999999998</v>
      </c>
      <c r="G69" s="1" t="str">
        <f>G63</f>
        <v>per 100 youth petitioned</v>
      </c>
      <c r="L69" s="58">
        <f>IF(($E63&gt;0),L63,L62)</f>
        <v>100</v>
      </c>
      <c r="M69" s="58">
        <f>IF((B69=G69),1,2)</f>
        <v>1</v>
      </c>
    </row>
    <row r="70" spans="2:13" ht="15" hidden="1" customHeight="1">
      <c r="B70" s="49" t="str">
        <f>IF(($E64&gt;0),B64,B63)</f>
        <v>per 100 youth found delinquent</v>
      </c>
      <c r="C70" s="49">
        <f>IF(($E64&gt;0),C64,C63)</f>
        <v>0.27</v>
      </c>
      <c r="D70" s="49">
        <f>IF(($E64&gt;0),D64,D63)</f>
        <v>0.11</v>
      </c>
      <c r="E70" s="56">
        <f>MAX(C70:D70)</f>
        <v>0.27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Cass</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4269</v>
      </c>
      <c r="D6" s="34"/>
      <c r="E6" s="33">
        <f>'Data Entry'!F6</f>
        <v>49</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1.1712344811431248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49</v>
      </c>
      <c r="P7" s="42">
        <f t="shared" ref="P7:P15" si="4">C7</f>
        <v>5</v>
      </c>
      <c r="Q7" s="42">
        <f>C6-C7</f>
        <v>4264</v>
      </c>
      <c r="R7" s="42">
        <f t="shared" ref="R7:R15" si="5">SUM(N7:Q7)</f>
        <v>4318</v>
      </c>
      <c r="S7" s="30">
        <f t="shared" ref="S7:S15" si="6">R7*((((N7*Q7)-(O7*P7))^2))</f>
        <v>259187950</v>
      </c>
      <c r="T7" s="30">
        <f t="shared" ref="T7:T15" si="7">(N7+O7)*(P7+Q7)*(N7+P7)*(O7+Q7)</f>
        <v>4510988265</v>
      </c>
      <c r="U7" s="31">
        <f t="shared" ref="U7:U15" si="8">IF((S7&gt;0),S7/T7,"- -")</f>
        <v>5.7457021560219021E-2</v>
      </c>
    </row>
    <row r="8" spans="2:21" ht="18" customHeight="1">
      <c r="B8" s="32" t="str">
        <f>'Data Entry'!A8</f>
        <v>3. Refer to Juvenile Court</v>
      </c>
      <c r="C8" s="33">
        <f>'Data Entry'!C8</f>
        <v>80</v>
      </c>
      <c r="D8" s="34">
        <f>IF((AND(C67&gt;0,C8&gt;0)),(C8/C67),0)</f>
        <v>1600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80</v>
      </c>
      <c r="Q8" s="42">
        <f>(C$67*L67)-C8</f>
        <v>-75</v>
      </c>
      <c r="R8" s="42">
        <f t="shared" si="5"/>
        <v>5.0499999999999972</v>
      </c>
      <c r="S8" s="30">
        <f t="shared" si="6"/>
        <v>80.799999999999955</v>
      </c>
      <c r="T8" s="30">
        <f t="shared" si="7"/>
        <v>-1499</v>
      </c>
      <c r="U8" s="31">
        <f t="shared" si="8"/>
        <v>-5.390260173448963E-2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80</v>
      </c>
      <c r="R9" s="42">
        <f t="shared" si="5"/>
        <v>80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80</v>
      </c>
      <c r="R10" s="42">
        <f t="shared" si="5"/>
        <v>80</v>
      </c>
      <c r="S10" s="30">
        <f t="shared" si="6"/>
        <v>0</v>
      </c>
      <c r="T10" s="30">
        <f t="shared" si="7"/>
        <v>0</v>
      </c>
      <c r="U10" s="31" t="str">
        <f t="shared" si="8"/>
        <v>- -</v>
      </c>
    </row>
    <row r="11" spans="2:21" ht="18" customHeight="1">
      <c r="B11" s="32" t="str">
        <f>'Data Entry'!A11</f>
        <v>6. Cases Petitioned (Charge Filed)</v>
      </c>
      <c r="C11" s="33">
        <f>'Data Entry'!C11</f>
        <v>29</v>
      </c>
      <c r="D11" s="34">
        <f>IF(((AND(C68&gt;0,C11&gt;0))),(C11/(C68)),0)</f>
        <v>36.25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29</v>
      </c>
      <c r="Q11" s="42">
        <f>(C$68*L68)-C11</f>
        <v>51</v>
      </c>
      <c r="R11" s="42">
        <f t="shared" si="5"/>
        <v>80</v>
      </c>
      <c r="S11" s="30">
        <f t="shared" si="6"/>
        <v>0</v>
      </c>
      <c r="T11" s="30">
        <f t="shared" si="7"/>
        <v>0</v>
      </c>
      <c r="U11" s="31" t="str">
        <f t="shared" si="8"/>
        <v>- -</v>
      </c>
    </row>
    <row r="12" spans="2:21" ht="18" customHeight="1">
      <c r="B12" s="32" t="str">
        <f>'Data Entry'!A12</f>
        <v>7. Cases Resulting in Delinquent Findings</v>
      </c>
      <c r="C12" s="33">
        <f>'Data Entry'!C12</f>
        <v>27</v>
      </c>
      <c r="D12" s="34">
        <f>IF(((AND(C69&gt;0,C12&gt;0))),(C12/(C69)),0)</f>
        <v>93.103448275862078</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27</v>
      </c>
      <c r="Q12" s="42">
        <f>(C69*L69)-C12</f>
        <v>1.9999999999999964</v>
      </c>
      <c r="R12" s="42">
        <f t="shared" si="5"/>
        <v>28.999999999999996</v>
      </c>
      <c r="S12" s="30">
        <f t="shared" si="6"/>
        <v>0</v>
      </c>
      <c r="T12" s="30">
        <f t="shared" si="7"/>
        <v>0</v>
      </c>
      <c r="U12" s="31" t="str">
        <f t="shared" si="8"/>
        <v>- -</v>
      </c>
    </row>
    <row r="13" spans="2:21" ht="18" customHeight="1">
      <c r="B13" s="32" t="str">
        <f>'Data Entry'!A13</f>
        <v>8. Cases Resulting in Probation Placement</v>
      </c>
      <c r="C13" s="33">
        <f>'Data Entry'!C13</f>
        <v>40</v>
      </c>
      <c r="D13" s="34">
        <f>IF(((AND(C70&gt;0,C13&gt;0))),(C13/(C70)),0)</f>
        <v>148.14814814814815</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40</v>
      </c>
      <c r="Q13" s="42">
        <f>(C70*L70)-C13</f>
        <v>-13</v>
      </c>
      <c r="R13" s="42">
        <f t="shared" si="5"/>
        <v>27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27</v>
      </c>
      <c r="R14" s="42">
        <f t="shared" si="5"/>
        <v>27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28.999999999999996</v>
      </c>
      <c r="R15" s="42">
        <f t="shared" si="5"/>
        <v>28.999999999999996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4.2690000000000001</v>
      </c>
      <c r="D42" s="56">
        <f>E6/1000</f>
        <v>4.9000000000000002E-2</v>
      </c>
      <c r="E42" s="56">
        <f>MAX(C42:D42)</f>
        <v>4.2690000000000001</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0.8</v>
      </c>
      <c r="D44" s="56">
        <f>E8/100</f>
        <v>0</v>
      </c>
      <c r="E44" s="56">
        <f>MAX(C44:D44,0)</f>
        <v>0.8</v>
      </c>
      <c r="G44" s="1" t="str">
        <f>B44</f>
        <v>per 100 referrals</v>
      </c>
      <c r="L44" s="57">
        <v>100</v>
      </c>
      <c r="M44" s="57"/>
      <c r="R44" s="49"/>
    </row>
    <row r="45" spans="2:18" ht="15" hidden="1" customHeight="1">
      <c r="B45" s="49" t="s">
        <v>89</v>
      </c>
      <c r="C45" s="49">
        <f>C11/100</f>
        <v>0.28999999999999998</v>
      </c>
      <c r="D45" s="49">
        <f>E11/100</f>
        <v>0</v>
      </c>
      <c r="E45" s="56">
        <f>MAX(C45:D45,0)</f>
        <v>0.28999999999999998</v>
      </c>
      <c r="G45" s="1" t="str">
        <f>B45</f>
        <v>per 100 youth petitioned</v>
      </c>
      <c r="L45" s="57">
        <v>100</v>
      </c>
      <c r="M45" s="57"/>
      <c r="R45" s="49"/>
    </row>
    <row r="46" spans="2:18" ht="15" hidden="1" customHeight="1">
      <c r="B46" s="49" t="s">
        <v>90</v>
      </c>
      <c r="C46" s="49">
        <f>C12/100</f>
        <v>0.27</v>
      </c>
      <c r="D46" s="49">
        <f>E12/100</f>
        <v>0</v>
      </c>
      <c r="E46" s="56">
        <f>MAX(C46:D46)</f>
        <v>0.27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4.2690000000000001</v>
      </c>
      <c r="D48" s="56">
        <f>D42</f>
        <v>4.9000000000000002E-2</v>
      </c>
      <c r="E48" s="56">
        <f>MAX(C48:D48)</f>
        <v>4.2690000000000001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referrals</v>
      </c>
      <c r="C50" s="49">
        <f t="shared" si="9"/>
        <v>0.8</v>
      </c>
      <c r="D50" s="49">
        <f t="shared" si="9"/>
        <v>0</v>
      </c>
      <c r="E50" s="49">
        <f>MAX(C50:D50)</f>
        <v>0.8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0.28999999999999998</v>
      </c>
      <c r="D51" s="49">
        <f>IF(($E45&gt;0),D45,D44)</f>
        <v>0</v>
      </c>
      <c r="E51" s="49">
        <f>MAX(C51:D51)</f>
        <v>0.28999999999999998</v>
      </c>
      <c r="G51" s="1" t="str">
        <f>G45</f>
        <v>per 100 youth petitioned</v>
      </c>
      <c r="L51" s="58">
        <f>IF(($E45&gt;0),L45,L44)</f>
        <v>100</v>
      </c>
      <c r="M51" s="58"/>
    </row>
    <row r="52" spans="2:18" ht="15" hidden="1" customHeight="1">
      <c r="B52" s="49" t="str">
        <f>IF(($E46&gt;0),B46,B45)</f>
        <v>per 100 youth found delinquent</v>
      </c>
      <c r="C52" s="49">
        <f>IF(($E46&gt;0),C46,C45)</f>
        <v>0.27</v>
      </c>
      <c r="D52" s="49">
        <f>IF(($E46&gt;0),D46,D45)</f>
        <v>0</v>
      </c>
      <c r="E52" s="56">
        <f>MAX(C52:D52)</f>
        <v>0.27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4.2690000000000001</v>
      </c>
      <c r="D54" s="56">
        <f>D48</f>
        <v>4.9000000000000002E-2</v>
      </c>
      <c r="E54" s="56">
        <f>MAX(C54:D54)</f>
        <v>4.2690000000000001</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referrals</v>
      </c>
      <c r="C56" s="49">
        <f t="shared" si="10"/>
        <v>0.8</v>
      </c>
      <c r="D56" s="49">
        <f t="shared" si="10"/>
        <v>0</v>
      </c>
      <c r="E56" s="49">
        <f>MAX(C56:D56)</f>
        <v>0.8</v>
      </c>
      <c r="G56" s="1" t="str">
        <f>G50</f>
        <v>per 100 referrals</v>
      </c>
      <c r="L56" s="58">
        <f>IF(($E50&gt;0),L50,L49)</f>
        <v>100</v>
      </c>
      <c r="M56" s="58"/>
    </row>
    <row r="57" spans="2:18" ht="15" hidden="1" customHeight="1">
      <c r="B57" s="49" t="str">
        <f>IF(($E51&gt;0),B51,B49)</f>
        <v>per 100 youth petitioned</v>
      </c>
      <c r="C57" s="49">
        <f>IF(($E51&gt;0),C51,C50)</f>
        <v>0.28999999999999998</v>
      </c>
      <c r="D57" s="49">
        <f>IF(($E51&gt;0),D51,D50)</f>
        <v>0</v>
      </c>
      <c r="E57" s="49">
        <f>MAX(C57:D57)</f>
        <v>0.28999999999999998</v>
      </c>
      <c r="G57" s="1" t="str">
        <f>G51</f>
        <v>per 100 youth petitioned</v>
      </c>
      <c r="L57" s="58">
        <f>IF(($E51&gt;0),L51,L50)</f>
        <v>100</v>
      </c>
      <c r="M57" s="58"/>
    </row>
    <row r="58" spans="2:18" ht="15" hidden="1" customHeight="1">
      <c r="B58" s="49" t="str">
        <f>IF(($E52&gt;0),B52,B51)</f>
        <v>per 100 youth found delinquent</v>
      </c>
      <c r="C58" s="49">
        <f>IF(($E52&gt;0),C52,C51)</f>
        <v>0.27</v>
      </c>
      <c r="D58" s="49">
        <f>IF(($E52&gt;0),D52,D51)</f>
        <v>0</v>
      </c>
      <c r="E58" s="56">
        <f>MAX(C58:D58)</f>
        <v>0.27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4.2690000000000001</v>
      </c>
      <c r="D60" s="56">
        <f>D54</f>
        <v>4.9000000000000002E-2</v>
      </c>
      <c r="E60" s="56">
        <f>MAX(C60:D60)</f>
        <v>4.2690000000000001</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referrals</v>
      </c>
      <c r="C62" s="49">
        <f t="shared" si="11"/>
        <v>0.8</v>
      </c>
      <c r="D62" s="49">
        <f t="shared" si="11"/>
        <v>0</v>
      </c>
      <c r="E62" s="49">
        <f>MAX(C62:D62)</f>
        <v>0.8</v>
      </c>
      <c r="G62" s="1" t="str">
        <f>G56</f>
        <v>per 100 referrals</v>
      </c>
      <c r="L62" s="58">
        <f>IF(($E56&gt;0),L56,L55)</f>
        <v>100</v>
      </c>
      <c r="M62" s="58"/>
    </row>
    <row r="63" spans="2:18" ht="15" hidden="1" customHeight="1">
      <c r="B63" s="49" t="str">
        <f>IF(($E57&gt;0),B57,B55)</f>
        <v>per 100 youth petitioned</v>
      </c>
      <c r="C63" s="49">
        <f>IF(($E57&gt;0),C57,C56)</f>
        <v>0.28999999999999998</v>
      </c>
      <c r="D63" s="49">
        <f>IF(($E57&gt;0),D57,D56)</f>
        <v>0</v>
      </c>
      <c r="E63" s="49">
        <f>MAX(C63:D63)</f>
        <v>0.28999999999999998</v>
      </c>
      <c r="G63" s="1" t="str">
        <f>G57</f>
        <v>per 100 youth petitioned</v>
      </c>
      <c r="L63" s="58">
        <f>IF(($E57&gt;0),L57,L56)</f>
        <v>100</v>
      </c>
      <c r="M63" s="58"/>
    </row>
    <row r="64" spans="2:18" ht="15" hidden="1" customHeight="1">
      <c r="B64" s="49" t="str">
        <f>IF(($E58&gt;0),B58,B57)</f>
        <v>per 100 youth found delinquent</v>
      </c>
      <c r="C64" s="49">
        <f>IF(($E58&gt;0),C58,C57)</f>
        <v>0.27</v>
      </c>
      <c r="D64" s="49">
        <f>IF(($E58&gt;0),D58,D57)</f>
        <v>0</v>
      </c>
      <c r="E64" s="56">
        <f>MAX(C64:D64)</f>
        <v>0.27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4.2690000000000001</v>
      </c>
      <c r="D66" s="56">
        <f>D60</f>
        <v>4.9000000000000002E-2</v>
      </c>
      <c r="E66" s="56">
        <f>MAX(C66:D66)</f>
        <v>4.2690000000000001</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referrals</v>
      </c>
      <c r="C68" s="49">
        <f t="shared" si="12"/>
        <v>0.8</v>
      </c>
      <c r="D68" s="49">
        <f t="shared" si="12"/>
        <v>0</v>
      </c>
      <c r="E68" s="49">
        <f>MAX(C68:D68)</f>
        <v>0.8</v>
      </c>
      <c r="G68" s="1" t="str">
        <f>G62</f>
        <v>per 100 referrals</v>
      </c>
      <c r="L68" s="58">
        <f>IF(($E62&gt;0),L62,L61)</f>
        <v>100</v>
      </c>
      <c r="M68" s="58">
        <f>IF((B68=G68),1,2)</f>
        <v>1</v>
      </c>
    </row>
    <row r="69" spans="2:13" ht="15" hidden="1" customHeight="1">
      <c r="B69" s="49" t="str">
        <f>IF(($E63&gt;0),B63,B61)</f>
        <v>per 100 youth petitioned</v>
      </c>
      <c r="C69" s="49">
        <f>IF(($E63&gt;0),C63,C62)</f>
        <v>0.28999999999999998</v>
      </c>
      <c r="D69" s="49">
        <f>IF(($E63&gt;0),D63,D62)</f>
        <v>0</v>
      </c>
      <c r="E69" s="49">
        <f>MAX(C69:D69)</f>
        <v>0.28999999999999998</v>
      </c>
      <c r="G69" s="1" t="str">
        <f>G63</f>
        <v>per 100 youth petitioned</v>
      </c>
      <c r="L69" s="58">
        <f>IF(($E63&gt;0),L63,L62)</f>
        <v>100</v>
      </c>
      <c r="M69" s="58">
        <f>IF((B69=G69),1,2)</f>
        <v>1</v>
      </c>
    </row>
    <row r="70" spans="2:13" ht="15" hidden="1" customHeight="1">
      <c r="B70" s="49" t="str">
        <f>IF(($E64&gt;0),B64,B63)</f>
        <v>per 100 youth found delinquent</v>
      </c>
      <c r="C70" s="49">
        <f>IF(($E64&gt;0),C64,C63)</f>
        <v>0.27</v>
      </c>
      <c r="D70" s="49">
        <f>IF(($E64&gt;0),D64,D63)</f>
        <v>0</v>
      </c>
      <c r="E70" s="56">
        <f>MAX(C70:D70)</f>
        <v>0.27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Cass</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4269</v>
      </c>
      <c r="D6" s="34"/>
      <c r="E6" s="33">
        <f>'Data Entry'!E6</f>
        <v>385</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1.1712344811431248</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385</v>
      </c>
      <c r="P7" s="42">
        <f t="shared" ref="P7:P15" si="4">C7</f>
        <v>5</v>
      </c>
      <c r="Q7" s="42">
        <f>C6-C7</f>
        <v>4264</v>
      </c>
      <c r="R7" s="42">
        <f t="shared" ref="R7:R15" si="5">SUM(N7:Q7)</f>
        <v>4654</v>
      </c>
      <c r="S7" s="30">
        <f t="shared" ref="S7:S15" si="6">R7*((((N7*Q7)-(O7*P7))^2))</f>
        <v>17245978750</v>
      </c>
      <c r="T7" s="30">
        <f t="shared" ref="T7:T15" si="7">(N7+O7)*(P7+Q7)*(N7+P7)*(O7+Q7)</f>
        <v>38204668425</v>
      </c>
      <c r="U7" s="31">
        <f t="shared" ref="U7:U15" si="8">IF((S7&gt;0),S7/T7,"- -")</f>
        <v>0.45141024542212083</v>
      </c>
    </row>
    <row r="8" spans="2:21" ht="18" customHeight="1">
      <c r="B8" s="32" t="str">
        <f>'Data Entry'!A8</f>
        <v>3. Refer to Juvenile Court</v>
      </c>
      <c r="C8" s="33">
        <f>'Data Entry'!C8</f>
        <v>80</v>
      </c>
      <c r="D8" s="34">
        <f>IF((AND(C67&gt;0,C8&gt;0)),(C8/C67),0)</f>
        <v>1600</v>
      </c>
      <c r="E8" s="33">
        <f>'Data Entry'!E8</f>
        <v>2</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v>
      </c>
      <c r="O8" s="42">
        <f>((D67*L67)-E8)+0.05</f>
        <v>-1.95</v>
      </c>
      <c r="P8" s="42">
        <f t="shared" si="4"/>
        <v>80</v>
      </c>
      <c r="Q8" s="42">
        <f>(C$67*L67)-C8</f>
        <v>-75</v>
      </c>
      <c r="R8" s="42">
        <f t="shared" si="5"/>
        <v>5.0499999999999972</v>
      </c>
      <c r="S8" s="30">
        <f t="shared" si="6"/>
        <v>181.7999999999999</v>
      </c>
      <c r="T8" s="30">
        <f t="shared" si="7"/>
        <v>-1577.4750000000015</v>
      </c>
      <c r="U8" s="31">
        <f t="shared" si="8"/>
        <v>-0.11524746826415615</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80</v>
      </c>
      <c r="R9" s="42">
        <f t="shared" si="5"/>
        <v>82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80</v>
      </c>
      <c r="R10" s="42">
        <f t="shared" si="5"/>
        <v>82</v>
      </c>
      <c r="S10" s="30">
        <f t="shared" si="6"/>
        <v>0</v>
      </c>
      <c r="T10" s="30">
        <f t="shared" si="7"/>
        <v>0</v>
      </c>
      <c r="U10" s="31" t="str">
        <f t="shared" si="8"/>
        <v>- -</v>
      </c>
    </row>
    <row r="11" spans="2:21" ht="18" customHeight="1">
      <c r="B11" s="32" t="str">
        <f>'Data Entry'!A11</f>
        <v>6. Cases Petitioned (Charge Filed)</v>
      </c>
      <c r="C11" s="33">
        <f>'Data Entry'!C11</f>
        <v>29</v>
      </c>
      <c r="D11" s="34">
        <f>IF(((AND(C68&gt;0,C11&gt;0))),(C11/(C68)),0)</f>
        <v>36.25</v>
      </c>
      <c r="E11" s="33">
        <f>'Data Entry'!E11</f>
        <v>2</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0</v>
      </c>
      <c r="P11" s="42">
        <f t="shared" si="4"/>
        <v>29</v>
      </c>
      <c r="Q11" s="42">
        <f>(C$68*L68)-C11</f>
        <v>51</v>
      </c>
      <c r="R11" s="42">
        <f t="shared" si="5"/>
        <v>82</v>
      </c>
      <c r="S11" s="30">
        <f t="shared" si="6"/>
        <v>853128</v>
      </c>
      <c r="T11" s="30">
        <f t="shared" si="7"/>
        <v>252960</v>
      </c>
      <c r="U11" s="31">
        <f t="shared" si="8"/>
        <v>3.3725806451612903</v>
      </c>
    </row>
    <row r="12" spans="2:21" ht="18" customHeight="1">
      <c r="B12" s="32" t="str">
        <f>'Data Entry'!A12</f>
        <v>7. Cases Resulting in Delinquent Findings</v>
      </c>
      <c r="C12" s="33">
        <f>'Data Entry'!C12</f>
        <v>27</v>
      </c>
      <c r="D12" s="34">
        <f>IF(((AND(C69&gt;0,C12&gt;0))),(C12/(C69)),0)</f>
        <v>93.103448275862078</v>
      </c>
      <c r="E12" s="33">
        <f>'Data Entry'!E12</f>
        <v>2</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0</v>
      </c>
      <c r="P12" s="42">
        <f t="shared" si="4"/>
        <v>27</v>
      </c>
      <c r="Q12" s="42">
        <f>(C69*L69)-C12</f>
        <v>1.9999999999999964</v>
      </c>
      <c r="R12" s="42">
        <f t="shared" si="5"/>
        <v>30.999999999999996</v>
      </c>
      <c r="S12" s="30">
        <f t="shared" si="6"/>
        <v>495.99999999999818</v>
      </c>
      <c r="T12" s="30">
        <f t="shared" si="7"/>
        <v>3363.9999999999936</v>
      </c>
      <c r="U12" s="31">
        <f t="shared" si="8"/>
        <v>0.14744351961950034</v>
      </c>
    </row>
    <row r="13" spans="2:21" ht="18" customHeight="1">
      <c r="B13" s="32" t="str">
        <f>'Data Entry'!A13</f>
        <v>8. Cases Resulting in Probation Placement</v>
      </c>
      <c r="C13" s="33">
        <f>'Data Entry'!C13</f>
        <v>40</v>
      </c>
      <c r="D13" s="34">
        <f>IF(((AND(C70&gt;0,C13&gt;0))),(C13/(C70)),0)</f>
        <v>148.14814814814815</v>
      </c>
      <c r="E13" s="33">
        <f>'Data Entry'!E13</f>
        <v>2</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v>
      </c>
      <c r="O13" s="42">
        <f>(D70*L70)-E13</f>
        <v>0</v>
      </c>
      <c r="P13" s="42">
        <f t="shared" si="4"/>
        <v>40</v>
      </c>
      <c r="Q13" s="42">
        <f>(C70*L70)-C13</f>
        <v>-13</v>
      </c>
      <c r="R13" s="42">
        <f t="shared" si="5"/>
        <v>29</v>
      </c>
      <c r="S13" s="30">
        <f t="shared" si="6"/>
        <v>19604</v>
      </c>
      <c r="T13" s="30">
        <f t="shared" si="7"/>
        <v>-29484</v>
      </c>
      <c r="U13" s="31">
        <f t="shared" si="8"/>
        <v>-0.66490299823633159</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v>
      </c>
      <c r="P14" s="42">
        <f t="shared" si="4"/>
        <v>0</v>
      </c>
      <c r="Q14" s="42">
        <f>(C70*L70)-C14</f>
        <v>27</v>
      </c>
      <c r="R14" s="42">
        <f t="shared" si="5"/>
        <v>29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28.999999999999996</v>
      </c>
      <c r="R15" s="42">
        <f t="shared" si="5"/>
        <v>30.999999999999996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4.2690000000000001</v>
      </c>
      <c r="D42" s="56">
        <f>E6/1000</f>
        <v>0.38500000000000001</v>
      </c>
      <c r="E42" s="56">
        <f>MAX(C42:D42)</f>
        <v>4.2690000000000001</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0.8</v>
      </c>
      <c r="D44" s="56">
        <f>E8/100</f>
        <v>0.02</v>
      </c>
      <c r="E44" s="56">
        <f>MAX(C44:D44,0)</f>
        <v>0.8</v>
      </c>
      <c r="G44" s="1" t="str">
        <f>B44</f>
        <v>per 100 referrals</v>
      </c>
      <c r="L44" s="57">
        <v>100</v>
      </c>
      <c r="M44" s="57"/>
      <c r="R44" s="49"/>
    </row>
    <row r="45" spans="2:18" ht="15" hidden="1" customHeight="1">
      <c r="B45" s="49" t="s">
        <v>89</v>
      </c>
      <c r="C45" s="49">
        <f>C11/100</f>
        <v>0.28999999999999998</v>
      </c>
      <c r="D45" s="49">
        <f>E11/100</f>
        <v>0.02</v>
      </c>
      <c r="E45" s="56">
        <f>MAX(C45:D45,0)</f>
        <v>0.28999999999999998</v>
      </c>
      <c r="G45" s="1" t="str">
        <f>B45</f>
        <v>per 100 youth petitioned</v>
      </c>
      <c r="L45" s="57">
        <v>100</v>
      </c>
      <c r="M45" s="57"/>
      <c r="R45" s="49"/>
    </row>
    <row r="46" spans="2:18" ht="15" hidden="1" customHeight="1">
      <c r="B46" s="49" t="s">
        <v>90</v>
      </c>
      <c r="C46" s="49">
        <f>C12/100</f>
        <v>0.27</v>
      </c>
      <c r="D46" s="49">
        <f>E12/100</f>
        <v>0.02</v>
      </c>
      <c r="E46" s="56">
        <f>MAX(C46:D46)</f>
        <v>0.27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4.2690000000000001</v>
      </c>
      <c r="D48" s="56">
        <f>D42</f>
        <v>0.38500000000000001</v>
      </c>
      <c r="E48" s="56">
        <f>MAX(C48:D48)</f>
        <v>4.2690000000000001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referrals</v>
      </c>
      <c r="C50" s="49">
        <f t="shared" si="9"/>
        <v>0.8</v>
      </c>
      <c r="D50" s="49">
        <f t="shared" si="9"/>
        <v>0.02</v>
      </c>
      <c r="E50" s="49">
        <f>MAX(C50:D50)</f>
        <v>0.8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0.28999999999999998</v>
      </c>
      <c r="D51" s="49">
        <f>IF(($E45&gt;0),D45,D44)</f>
        <v>0.02</v>
      </c>
      <c r="E51" s="49">
        <f>MAX(C51:D51)</f>
        <v>0.28999999999999998</v>
      </c>
      <c r="G51" s="1" t="str">
        <f>G45</f>
        <v>per 100 youth petitioned</v>
      </c>
      <c r="L51" s="58">
        <f>IF(($E45&gt;0),L45,L44)</f>
        <v>100</v>
      </c>
      <c r="M51" s="58"/>
    </row>
    <row r="52" spans="2:18" ht="15" hidden="1" customHeight="1">
      <c r="B52" s="49" t="str">
        <f>IF(($E46&gt;0),B46,B45)</f>
        <v>per 100 youth found delinquent</v>
      </c>
      <c r="C52" s="49">
        <f>IF(($E46&gt;0),C46,C45)</f>
        <v>0.27</v>
      </c>
      <c r="D52" s="49">
        <f>IF(($E46&gt;0),D46,D45)</f>
        <v>0.02</v>
      </c>
      <c r="E52" s="56">
        <f>MAX(C52:D52)</f>
        <v>0.27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4.2690000000000001</v>
      </c>
      <c r="D54" s="56">
        <f>D48</f>
        <v>0.38500000000000001</v>
      </c>
      <c r="E54" s="56">
        <f>MAX(C54:D54)</f>
        <v>4.2690000000000001</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referrals</v>
      </c>
      <c r="C56" s="49">
        <f t="shared" si="10"/>
        <v>0.8</v>
      </c>
      <c r="D56" s="49">
        <f t="shared" si="10"/>
        <v>0.02</v>
      </c>
      <c r="E56" s="49">
        <f>MAX(C56:D56)</f>
        <v>0.8</v>
      </c>
      <c r="G56" s="1" t="str">
        <f>G50</f>
        <v>per 100 referrals</v>
      </c>
      <c r="L56" s="58">
        <f>IF(($E50&gt;0),L50,L49)</f>
        <v>100</v>
      </c>
      <c r="M56" s="58"/>
    </row>
    <row r="57" spans="2:18" ht="15" hidden="1" customHeight="1">
      <c r="B57" s="49" t="str">
        <f>IF(($E51&gt;0),B51,B49)</f>
        <v>per 100 youth petitioned</v>
      </c>
      <c r="C57" s="49">
        <f>IF(($E51&gt;0),C51,C50)</f>
        <v>0.28999999999999998</v>
      </c>
      <c r="D57" s="49">
        <f>IF(($E51&gt;0),D51,D50)</f>
        <v>0.02</v>
      </c>
      <c r="E57" s="49">
        <f>MAX(C57:D57)</f>
        <v>0.28999999999999998</v>
      </c>
      <c r="G57" s="1" t="str">
        <f>G51</f>
        <v>per 100 youth petitioned</v>
      </c>
      <c r="L57" s="58">
        <f>IF(($E51&gt;0),L51,L50)</f>
        <v>100</v>
      </c>
      <c r="M57" s="58"/>
    </row>
    <row r="58" spans="2:18" ht="15" hidden="1" customHeight="1">
      <c r="B58" s="49" t="str">
        <f>IF(($E52&gt;0),B52,B51)</f>
        <v>per 100 youth found delinquent</v>
      </c>
      <c r="C58" s="49">
        <f>IF(($E52&gt;0),C52,C51)</f>
        <v>0.27</v>
      </c>
      <c r="D58" s="49">
        <f>IF(($E52&gt;0),D52,D51)</f>
        <v>0.02</v>
      </c>
      <c r="E58" s="56">
        <f>MAX(C58:D58)</f>
        <v>0.27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4.2690000000000001</v>
      </c>
      <c r="D60" s="56">
        <f>D54</f>
        <v>0.38500000000000001</v>
      </c>
      <c r="E60" s="56">
        <f>MAX(C60:D60)</f>
        <v>4.2690000000000001</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referrals</v>
      </c>
      <c r="C62" s="49">
        <f t="shared" si="11"/>
        <v>0.8</v>
      </c>
      <c r="D62" s="49">
        <f t="shared" si="11"/>
        <v>0.02</v>
      </c>
      <c r="E62" s="49">
        <f>MAX(C62:D62)</f>
        <v>0.8</v>
      </c>
      <c r="G62" s="1" t="str">
        <f>G56</f>
        <v>per 100 referrals</v>
      </c>
      <c r="L62" s="58">
        <f>IF(($E56&gt;0),L56,L55)</f>
        <v>100</v>
      </c>
      <c r="M62" s="58"/>
    </row>
    <row r="63" spans="2:18" ht="15" hidden="1" customHeight="1">
      <c r="B63" s="49" t="str">
        <f>IF(($E57&gt;0),B57,B55)</f>
        <v>per 100 youth petitioned</v>
      </c>
      <c r="C63" s="49">
        <f>IF(($E57&gt;0),C57,C56)</f>
        <v>0.28999999999999998</v>
      </c>
      <c r="D63" s="49">
        <f>IF(($E57&gt;0),D57,D56)</f>
        <v>0.02</v>
      </c>
      <c r="E63" s="49">
        <f>MAX(C63:D63)</f>
        <v>0.28999999999999998</v>
      </c>
      <c r="G63" s="1" t="str">
        <f>G57</f>
        <v>per 100 youth petitioned</v>
      </c>
      <c r="L63" s="58">
        <f>IF(($E57&gt;0),L57,L56)</f>
        <v>100</v>
      </c>
      <c r="M63" s="58"/>
    </row>
    <row r="64" spans="2:18" ht="15" hidden="1" customHeight="1">
      <c r="B64" s="49" t="str">
        <f>IF(($E58&gt;0),B58,B57)</f>
        <v>per 100 youth found delinquent</v>
      </c>
      <c r="C64" s="49">
        <f>IF(($E58&gt;0),C58,C57)</f>
        <v>0.27</v>
      </c>
      <c r="D64" s="49">
        <f>IF(($E58&gt;0),D58,D57)</f>
        <v>0.02</v>
      </c>
      <c r="E64" s="56">
        <f>MAX(C64:D64)</f>
        <v>0.27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4.2690000000000001</v>
      </c>
      <c r="D66" s="56">
        <f>D60</f>
        <v>0.38500000000000001</v>
      </c>
      <c r="E66" s="56">
        <f>MAX(C66:D66)</f>
        <v>4.2690000000000001</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referrals</v>
      </c>
      <c r="C68" s="49">
        <f t="shared" si="12"/>
        <v>0.8</v>
      </c>
      <c r="D68" s="49">
        <f t="shared" si="12"/>
        <v>0.02</v>
      </c>
      <c r="E68" s="49">
        <f>MAX(C68:D68)</f>
        <v>0.8</v>
      </c>
      <c r="G68" s="1" t="str">
        <f>G62</f>
        <v>per 100 referrals</v>
      </c>
      <c r="L68" s="58">
        <f>IF(($E62&gt;0),L62,L61)</f>
        <v>100</v>
      </c>
      <c r="M68" s="58">
        <f>IF((B68=G68),1,2)</f>
        <v>1</v>
      </c>
    </row>
    <row r="69" spans="2:13" ht="15" hidden="1" customHeight="1">
      <c r="B69" s="49" t="str">
        <f>IF(($E63&gt;0),B63,B61)</f>
        <v>per 100 youth petitioned</v>
      </c>
      <c r="C69" s="49">
        <f>IF(($E63&gt;0),C63,C62)</f>
        <v>0.28999999999999998</v>
      </c>
      <c r="D69" s="49">
        <f>IF(($E63&gt;0),D63,D62)</f>
        <v>0.02</v>
      </c>
      <c r="E69" s="49">
        <f>MAX(C69:D69)</f>
        <v>0.28999999999999998</v>
      </c>
      <c r="G69" s="1" t="str">
        <f>G63</f>
        <v>per 100 youth petitioned</v>
      </c>
      <c r="L69" s="58">
        <f>IF(($E63&gt;0),L63,L62)</f>
        <v>100</v>
      </c>
      <c r="M69" s="58">
        <f>IF((B69=G69),1,2)</f>
        <v>1</v>
      </c>
    </row>
    <row r="70" spans="2:13" ht="15" hidden="1" customHeight="1">
      <c r="B70" s="49" t="str">
        <f>IF(($E64&gt;0),B64,B63)</f>
        <v>per 100 youth found delinquent</v>
      </c>
      <c r="C70" s="49">
        <f>IF(($E64&gt;0),C64,C63)</f>
        <v>0.27</v>
      </c>
      <c r="D70" s="49">
        <f>IF(($E64&gt;0),D64,D63)</f>
        <v>0.02</v>
      </c>
      <c r="E70" s="56">
        <f>MAX(C70:D70)</f>
        <v>0.27</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Cass</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4269</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1.1712344811431248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v>
      </c>
      <c r="Q7" s="42">
        <f>C6-C7</f>
        <v>4264</v>
      </c>
      <c r="R7" s="42">
        <f t="shared" ref="R7:R15" si="5">SUM(N7:Q7)</f>
        <v>4269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80</v>
      </c>
      <c r="D8" s="34">
        <f>IF((AND(C67&gt;0,C8&gt;0)),(C8/C67),0)</f>
        <v>1600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80</v>
      </c>
      <c r="Q8" s="42">
        <f>(C$67*L67)-C8</f>
        <v>-75</v>
      </c>
      <c r="R8" s="42">
        <f t="shared" si="5"/>
        <v>5.0499999999999972</v>
      </c>
      <c r="S8" s="30">
        <f t="shared" si="6"/>
        <v>80.799999999999955</v>
      </c>
      <c r="T8" s="30">
        <f t="shared" si="7"/>
        <v>-1499</v>
      </c>
      <c r="U8" s="31">
        <f t="shared" si="8"/>
        <v>-5.390260173448963E-2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80</v>
      </c>
      <c r="R9" s="42">
        <f t="shared" si="5"/>
        <v>80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80</v>
      </c>
      <c r="R10" s="42">
        <f t="shared" si="5"/>
        <v>80</v>
      </c>
      <c r="S10" s="30">
        <f t="shared" si="6"/>
        <v>0</v>
      </c>
      <c r="T10" s="30">
        <f t="shared" si="7"/>
        <v>0</v>
      </c>
      <c r="U10" s="31" t="str">
        <f t="shared" si="8"/>
        <v>- -</v>
      </c>
    </row>
    <row r="11" spans="2:21" ht="18" customHeight="1">
      <c r="B11" s="32" t="str">
        <f>'Data Entry'!A11</f>
        <v>6. Cases Petitioned (Charge Filed)</v>
      </c>
      <c r="C11" s="33">
        <f>'Data Entry'!C11</f>
        <v>29</v>
      </c>
      <c r="D11" s="34">
        <f>IF(((AND(C68&gt;0,C11&gt;0))),(C11/(C68)),0)</f>
        <v>36.25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29</v>
      </c>
      <c r="Q11" s="42">
        <f>(C$68*L68)-C11</f>
        <v>51</v>
      </c>
      <c r="R11" s="42">
        <f t="shared" si="5"/>
        <v>80</v>
      </c>
      <c r="S11" s="30">
        <f t="shared" si="6"/>
        <v>0</v>
      </c>
      <c r="T11" s="30">
        <f t="shared" si="7"/>
        <v>0</v>
      </c>
      <c r="U11" s="31" t="str">
        <f t="shared" si="8"/>
        <v>- -</v>
      </c>
    </row>
    <row r="12" spans="2:21" ht="18" customHeight="1">
      <c r="B12" s="32" t="str">
        <f>'Data Entry'!A12</f>
        <v>7. Cases Resulting in Delinquent Findings</v>
      </c>
      <c r="C12" s="33">
        <f>'Data Entry'!C12</f>
        <v>27</v>
      </c>
      <c r="D12" s="34">
        <f>IF(((AND(C69&gt;0,C12&gt;0))),(C12/(C69)),0)</f>
        <v>93.103448275862078</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27</v>
      </c>
      <c r="Q12" s="42">
        <f>(C69*L69)-C12</f>
        <v>1.9999999999999964</v>
      </c>
      <c r="R12" s="42">
        <f t="shared" si="5"/>
        <v>28.999999999999996</v>
      </c>
      <c r="S12" s="30">
        <f t="shared" si="6"/>
        <v>0</v>
      </c>
      <c r="T12" s="30">
        <f t="shared" si="7"/>
        <v>0</v>
      </c>
      <c r="U12" s="31" t="str">
        <f t="shared" si="8"/>
        <v>- -</v>
      </c>
    </row>
    <row r="13" spans="2:21" ht="18" customHeight="1">
      <c r="B13" s="32" t="str">
        <f>'Data Entry'!A13</f>
        <v>8. Cases Resulting in Probation Placement</v>
      </c>
      <c r="C13" s="33">
        <f>'Data Entry'!C13</f>
        <v>40</v>
      </c>
      <c r="D13" s="34">
        <f>IF(((AND(C70&gt;0,C13&gt;0))),(C13/(C70)),0)</f>
        <v>148.14814814814815</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40</v>
      </c>
      <c r="Q13" s="42">
        <f>(C70*L70)-C13</f>
        <v>-13</v>
      </c>
      <c r="R13" s="42">
        <f t="shared" si="5"/>
        <v>27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27</v>
      </c>
      <c r="R14" s="42">
        <f t="shared" si="5"/>
        <v>27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28.999999999999996</v>
      </c>
      <c r="R15" s="42">
        <f t="shared" si="5"/>
        <v>28.999999999999996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4.2690000000000001</v>
      </c>
      <c r="D42" s="56">
        <f>E6/1000</f>
        <v>0</v>
      </c>
      <c r="E42" s="56">
        <f>MAX(C42:D42)</f>
        <v>4.2690000000000001</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0.8</v>
      </c>
      <c r="D44" s="56">
        <f>E8/100</f>
        <v>0</v>
      </c>
      <c r="E44" s="56">
        <f>MAX(C44:D44,0)</f>
        <v>0.8</v>
      </c>
      <c r="G44" s="1" t="str">
        <f>B44</f>
        <v>per 100 referrals</v>
      </c>
      <c r="L44" s="57">
        <v>100</v>
      </c>
      <c r="M44" s="57"/>
      <c r="R44" s="49"/>
    </row>
    <row r="45" spans="2:18" ht="15" hidden="1" customHeight="1">
      <c r="B45" s="49" t="s">
        <v>89</v>
      </c>
      <c r="C45" s="49">
        <f>C11/100</f>
        <v>0.28999999999999998</v>
      </c>
      <c r="D45" s="49">
        <f>E11/100</f>
        <v>0</v>
      </c>
      <c r="E45" s="56">
        <f>MAX(C45:D45,0)</f>
        <v>0.28999999999999998</v>
      </c>
      <c r="G45" s="1" t="str">
        <f>B45</f>
        <v>per 100 youth petitioned</v>
      </c>
      <c r="L45" s="57">
        <v>100</v>
      </c>
      <c r="M45" s="57"/>
      <c r="R45" s="49"/>
    </row>
    <row r="46" spans="2:18" ht="15" hidden="1" customHeight="1">
      <c r="B46" s="49" t="s">
        <v>90</v>
      </c>
      <c r="C46" s="49">
        <f>C12/100</f>
        <v>0.27</v>
      </c>
      <c r="D46" s="49">
        <f>E12/100</f>
        <v>0</v>
      </c>
      <c r="E46" s="56">
        <f>MAX(C46:D46)</f>
        <v>0.27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4.2690000000000001</v>
      </c>
      <c r="D48" s="56">
        <f>D42</f>
        <v>0</v>
      </c>
      <c r="E48" s="56">
        <f>MAX(C48:D48)</f>
        <v>4.2690000000000001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referrals</v>
      </c>
      <c r="C50" s="49">
        <f t="shared" si="9"/>
        <v>0.8</v>
      </c>
      <c r="D50" s="49">
        <f t="shared" si="9"/>
        <v>0</v>
      </c>
      <c r="E50" s="49">
        <f>MAX(C50:D50)</f>
        <v>0.8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0.28999999999999998</v>
      </c>
      <c r="D51" s="49">
        <f>IF(($E45&gt;0),D45,D44)</f>
        <v>0</v>
      </c>
      <c r="E51" s="49">
        <f>MAX(C51:D51)</f>
        <v>0.28999999999999998</v>
      </c>
      <c r="G51" s="1" t="str">
        <f>G45</f>
        <v>per 100 youth petitioned</v>
      </c>
      <c r="L51" s="58">
        <f>IF(($E45&gt;0),L45,L44)</f>
        <v>100</v>
      </c>
      <c r="M51" s="58"/>
    </row>
    <row r="52" spans="2:18" ht="15" hidden="1" customHeight="1">
      <c r="B52" s="49" t="str">
        <f>IF(($E46&gt;0),B46,B45)</f>
        <v>per 100 youth found delinquent</v>
      </c>
      <c r="C52" s="49">
        <f>IF(($E46&gt;0),C46,C45)</f>
        <v>0.27</v>
      </c>
      <c r="D52" s="49">
        <f>IF(($E46&gt;0),D46,D45)</f>
        <v>0</v>
      </c>
      <c r="E52" s="56">
        <f>MAX(C52:D52)</f>
        <v>0.27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4.2690000000000001</v>
      </c>
      <c r="D54" s="56">
        <f>D48</f>
        <v>0</v>
      </c>
      <c r="E54" s="56">
        <f>MAX(C54:D54)</f>
        <v>4.2690000000000001</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referrals</v>
      </c>
      <c r="C56" s="49">
        <f t="shared" si="10"/>
        <v>0.8</v>
      </c>
      <c r="D56" s="49">
        <f t="shared" si="10"/>
        <v>0</v>
      </c>
      <c r="E56" s="49">
        <f>MAX(C56:D56)</f>
        <v>0.8</v>
      </c>
      <c r="G56" s="1" t="str">
        <f>G50</f>
        <v>per 100 referrals</v>
      </c>
      <c r="L56" s="58">
        <f>IF(($E50&gt;0),L50,L49)</f>
        <v>100</v>
      </c>
      <c r="M56" s="58"/>
    </row>
    <row r="57" spans="2:18" ht="15" hidden="1" customHeight="1">
      <c r="B57" s="49" t="str">
        <f>IF(($E51&gt;0),B51,B49)</f>
        <v>per 100 youth petitioned</v>
      </c>
      <c r="C57" s="49">
        <f>IF(($E51&gt;0),C51,C50)</f>
        <v>0.28999999999999998</v>
      </c>
      <c r="D57" s="49">
        <f>IF(($E51&gt;0),D51,D50)</f>
        <v>0</v>
      </c>
      <c r="E57" s="49">
        <f>MAX(C57:D57)</f>
        <v>0.28999999999999998</v>
      </c>
      <c r="G57" s="1" t="str">
        <f>G51</f>
        <v>per 100 youth petitioned</v>
      </c>
      <c r="L57" s="58">
        <f>IF(($E51&gt;0),L51,L50)</f>
        <v>100</v>
      </c>
      <c r="M57" s="58"/>
    </row>
    <row r="58" spans="2:18" ht="15" hidden="1" customHeight="1">
      <c r="B58" s="49" t="str">
        <f>IF(($E52&gt;0),B52,B51)</f>
        <v>per 100 youth found delinquent</v>
      </c>
      <c r="C58" s="49">
        <f>IF(($E52&gt;0),C52,C51)</f>
        <v>0.27</v>
      </c>
      <c r="D58" s="49">
        <f>IF(($E52&gt;0),D52,D51)</f>
        <v>0</v>
      </c>
      <c r="E58" s="56">
        <f>MAX(C58:D58)</f>
        <v>0.27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4.2690000000000001</v>
      </c>
      <c r="D60" s="56">
        <f>D54</f>
        <v>0</v>
      </c>
      <c r="E60" s="56">
        <f>MAX(C60:D60)</f>
        <v>4.2690000000000001</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referrals</v>
      </c>
      <c r="C62" s="49">
        <f t="shared" si="11"/>
        <v>0.8</v>
      </c>
      <c r="D62" s="49">
        <f t="shared" si="11"/>
        <v>0</v>
      </c>
      <c r="E62" s="49">
        <f>MAX(C62:D62)</f>
        <v>0.8</v>
      </c>
      <c r="G62" s="1" t="str">
        <f>G56</f>
        <v>per 100 referrals</v>
      </c>
      <c r="L62" s="58">
        <f>IF(($E56&gt;0),L56,L55)</f>
        <v>100</v>
      </c>
      <c r="M62" s="58"/>
    </row>
    <row r="63" spans="2:18" ht="15" hidden="1" customHeight="1">
      <c r="B63" s="49" t="str">
        <f>IF(($E57&gt;0),B57,B55)</f>
        <v>per 100 youth petitioned</v>
      </c>
      <c r="C63" s="49">
        <f>IF(($E57&gt;0),C57,C56)</f>
        <v>0.28999999999999998</v>
      </c>
      <c r="D63" s="49">
        <f>IF(($E57&gt;0),D57,D56)</f>
        <v>0</v>
      </c>
      <c r="E63" s="49">
        <f>MAX(C63:D63)</f>
        <v>0.28999999999999998</v>
      </c>
      <c r="G63" s="1" t="str">
        <f>G57</f>
        <v>per 100 youth petitioned</v>
      </c>
      <c r="L63" s="58">
        <f>IF(($E57&gt;0),L57,L56)</f>
        <v>100</v>
      </c>
      <c r="M63" s="58"/>
    </row>
    <row r="64" spans="2:18" ht="15" hidden="1" customHeight="1">
      <c r="B64" s="49" t="str">
        <f>IF(($E58&gt;0),B58,B57)</f>
        <v>per 100 youth found delinquent</v>
      </c>
      <c r="C64" s="49">
        <f>IF(($E58&gt;0),C58,C57)</f>
        <v>0.27</v>
      </c>
      <c r="D64" s="49">
        <f>IF(($E58&gt;0),D58,D57)</f>
        <v>0</v>
      </c>
      <c r="E64" s="56">
        <f>MAX(C64:D64)</f>
        <v>0.27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4.2690000000000001</v>
      </c>
      <c r="D66" s="56">
        <f>D60</f>
        <v>0</v>
      </c>
      <c r="E66" s="56">
        <f>MAX(C66:D66)</f>
        <v>4.2690000000000001</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referrals</v>
      </c>
      <c r="C68" s="49">
        <f t="shared" si="12"/>
        <v>0.8</v>
      </c>
      <c r="D68" s="49">
        <f t="shared" si="12"/>
        <v>0</v>
      </c>
      <c r="E68" s="49">
        <f>MAX(C68:D68)</f>
        <v>0.8</v>
      </c>
      <c r="G68" s="1" t="str">
        <f>G62</f>
        <v>per 100 referrals</v>
      </c>
      <c r="L68" s="58">
        <f>IF(($E62&gt;0),L62,L61)</f>
        <v>100</v>
      </c>
      <c r="M68" s="58">
        <f>IF((B68=G68),1,2)</f>
        <v>1</v>
      </c>
    </row>
    <row r="69" spans="2:13" ht="15" hidden="1" customHeight="1">
      <c r="B69" s="49" t="str">
        <f>IF(($E63&gt;0),B63,B61)</f>
        <v>per 100 youth petitioned</v>
      </c>
      <c r="C69" s="49">
        <f>IF(($E63&gt;0),C63,C62)</f>
        <v>0.28999999999999998</v>
      </c>
      <c r="D69" s="49">
        <f>IF(($E63&gt;0),D63,D62)</f>
        <v>0</v>
      </c>
      <c r="E69" s="49">
        <f>MAX(C69:D69)</f>
        <v>0.28999999999999998</v>
      </c>
      <c r="G69" s="1" t="str">
        <f>G63</f>
        <v>per 100 youth petitioned</v>
      </c>
      <c r="L69" s="58">
        <f>IF(($E63&gt;0),L63,L62)</f>
        <v>100</v>
      </c>
      <c r="M69" s="58">
        <f>IF((B69=G69),1,2)</f>
        <v>1</v>
      </c>
    </row>
    <row r="70" spans="2:13" ht="15" hidden="1" customHeight="1">
      <c r="B70" s="49" t="str">
        <f>IF(($E64&gt;0),B64,B63)</f>
        <v>per 100 youth found delinquent</v>
      </c>
      <c r="C70" s="49">
        <f>IF(($E64&gt;0),C64,C63)</f>
        <v>0.27</v>
      </c>
      <c r="D70" s="49">
        <f>IF(($E64&gt;0),D64,D63)</f>
        <v>0</v>
      </c>
      <c r="E70" s="56">
        <f>MAX(C70:D70)</f>
        <v>0.27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Cass</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4269</v>
      </c>
      <c r="D6" s="34"/>
      <c r="E6" s="33">
        <f>'Data Entry'!H6</f>
        <v>89</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1.1712344811431248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89</v>
      </c>
      <c r="P7" s="42">
        <f t="shared" ref="P7:P15" si="4">C7</f>
        <v>5</v>
      </c>
      <c r="Q7" s="42">
        <f>C6-C7</f>
        <v>4264</v>
      </c>
      <c r="R7" s="42">
        <f t="shared" ref="R7:R15" si="5">SUM(N7:Q7)</f>
        <v>4358</v>
      </c>
      <c r="S7" s="30">
        <f t="shared" ref="S7:S15" si="6">R7*((((N7*Q7)-(O7*P7))^2))</f>
        <v>862992950</v>
      </c>
      <c r="T7" s="30">
        <f t="shared" ref="T7:T15" si="7">(N7+O7)*(P7+Q7)*(N7+P7)*(O7+Q7)</f>
        <v>8269415865</v>
      </c>
      <c r="U7" s="31">
        <f t="shared" ref="U7:U15" si="8">IF((S7&gt;0),S7/T7,"- -")</f>
        <v>0.10435960218817705</v>
      </c>
    </row>
    <row r="8" spans="2:21" ht="18" customHeight="1">
      <c r="B8" s="32" t="str">
        <f>'Data Entry'!A8</f>
        <v>3. Refer to Juvenile Court</v>
      </c>
      <c r="C8" s="33">
        <f>'Data Entry'!C8</f>
        <v>80</v>
      </c>
      <c r="D8" s="34">
        <f>IF((AND(C67&gt;0,C8&gt;0)),(C8/C67),0)</f>
        <v>1600</v>
      </c>
      <c r="E8" s="33">
        <f>'Data Entry'!H8</f>
        <v>1</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-0.95</v>
      </c>
      <c r="P8" s="42">
        <f t="shared" si="4"/>
        <v>80</v>
      </c>
      <c r="Q8" s="42">
        <f>(C$67*L67)-C8</f>
        <v>-75</v>
      </c>
      <c r="R8" s="42">
        <f t="shared" si="5"/>
        <v>5.0499999999999972</v>
      </c>
      <c r="S8" s="30">
        <f t="shared" si="6"/>
        <v>5.0499999999999972</v>
      </c>
      <c r="T8" s="30">
        <f t="shared" si="7"/>
        <v>-1537.9875000000013</v>
      </c>
      <c r="U8" s="31">
        <f t="shared" si="8"/>
        <v>-3.2835117320524341E-3</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80</v>
      </c>
      <c r="R9" s="42">
        <f t="shared" si="5"/>
        <v>81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80</v>
      </c>
      <c r="R10" s="42">
        <f t="shared" si="5"/>
        <v>81</v>
      </c>
      <c r="S10" s="30">
        <f t="shared" si="6"/>
        <v>0</v>
      </c>
      <c r="T10" s="30">
        <f t="shared" si="7"/>
        <v>0</v>
      </c>
      <c r="U10" s="31" t="str">
        <f t="shared" si="8"/>
        <v>- -</v>
      </c>
    </row>
    <row r="11" spans="2:21" ht="18" customHeight="1">
      <c r="B11" s="32" t="str">
        <f>'Data Entry'!A11</f>
        <v>6. Cases Petitioned (Charge Filed)</v>
      </c>
      <c r="C11" s="33">
        <f>'Data Entry'!C11</f>
        <v>29</v>
      </c>
      <c r="D11" s="34">
        <f>IF(((AND(C68&gt;0,C11&gt;0))),(C11/(C68)),0)</f>
        <v>36.25</v>
      </c>
      <c r="E11" s="33">
        <f>'Data Entry'!H11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29</v>
      </c>
      <c r="Q11" s="42">
        <f>(C$68*L68)-C11</f>
        <v>51</v>
      </c>
      <c r="R11" s="42">
        <f t="shared" si="5"/>
        <v>81</v>
      </c>
      <c r="S11" s="30">
        <f t="shared" si="6"/>
        <v>68121</v>
      </c>
      <c r="T11" s="30">
        <f t="shared" si="7"/>
        <v>120640</v>
      </c>
      <c r="U11" s="31">
        <f t="shared" si="8"/>
        <v>0.56466346153846159</v>
      </c>
    </row>
    <row r="12" spans="2:21" ht="18" customHeight="1">
      <c r="B12" s="32" t="str">
        <f>'Data Entry'!A12</f>
        <v>7. Cases Resulting in Delinquent Findings</v>
      </c>
      <c r="C12" s="33">
        <f>'Data Entry'!C12</f>
        <v>27</v>
      </c>
      <c r="D12" s="34">
        <f>IF(((AND(C69&gt;0,C12&gt;0))),(C12/(C69)),0)</f>
        <v>93.103448275862078</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27</v>
      </c>
      <c r="Q12" s="42">
        <f>(C69*L69)-C12</f>
        <v>1.9999999999999964</v>
      </c>
      <c r="R12" s="42">
        <f t="shared" si="5"/>
        <v>28.999999999999996</v>
      </c>
      <c r="S12" s="30">
        <f t="shared" si="6"/>
        <v>0</v>
      </c>
      <c r="T12" s="30">
        <f t="shared" si="7"/>
        <v>0</v>
      </c>
      <c r="U12" s="31" t="str">
        <f t="shared" si="8"/>
        <v>- -</v>
      </c>
    </row>
    <row r="13" spans="2:21" ht="18" customHeight="1">
      <c r="B13" s="32" t="str">
        <f>'Data Entry'!A13</f>
        <v>8. Cases Resulting in Probation Placement</v>
      </c>
      <c r="C13" s="33">
        <f>'Data Entry'!C13</f>
        <v>40</v>
      </c>
      <c r="D13" s="34">
        <f>IF(((AND(C70&gt;0,C13&gt;0))),(C13/(C70)),0)</f>
        <v>148.14814814814815</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40</v>
      </c>
      <c r="Q13" s="42">
        <f>(C70*L70)-C13</f>
        <v>-13</v>
      </c>
      <c r="R13" s="42">
        <f t="shared" si="5"/>
        <v>27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27</v>
      </c>
      <c r="R14" s="42">
        <f t="shared" si="5"/>
        <v>27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28.999999999999996</v>
      </c>
      <c r="R15" s="42">
        <f t="shared" si="5"/>
        <v>28.999999999999996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4.2690000000000001</v>
      </c>
      <c r="D42" s="56">
        <f>E6/1000</f>
        <v>8.8999999999999996E-2</v>
      </c>
      <c r="E42" s="56">
        <f>MAX(C42:D42)</f>
        <v>4.2690000000000001</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0.8</v>
      </c>
      <c r="D44" s="56">
        <f>E8/100</f>
        <v>0.01</v>
      </c>
      <c r="E44" s="56">
        <f>MAX(C44:D44,0)</f>
        <v>0.8</v>
      </c>
      <c r="G44" s="1" t="str">
        <f>B44</f>
        <v>per 100 referrals</v>
      </c>
      <c r="L44" s="57">
        <v>100</v>
      </c>
      <c r="M44" s="57"/>
      <c r="R44" s="49"/>
    </row>
    <row r="45" spans="2:18" ht="15" hidden="1" customHeight="1">
      <c r="B45" s="49" t="s">
        <v>89</v>
      </c>
      <c r="C45" s="49">
        <f>C11/100</f>
        <v>0.28999999999999998</v>
      </c>
      <c r="D45" s="49">
        <f>E11/100</f>
        <v>0</v>
      </c>
      <c r="E45" s="56">
        <f>MAX(C45:D45,0)</f>
        <v>0.28999999999999998</v>
      </c>
      <c r="G45" s="1" t="str">
        <f>B45</f>
        <v>per 100 youth petitioned</v>
      </c>
      <c r="L45" s="57">
        <v>100</v>
      </c>
      <c r="M45" s="57"/>
      <c r="R45" s="49"/>
    </row>
    <row r="46" spans="2:18" ht="15" hidden="1" customHeight="1">
      <c r="B46" s="49" t="s">
        <v>90</v>
      </c>
      <c r="C46" s="49">
        <f>C12/100</f>
        <v>0.27</v>
      </c>
      <c r="D46" s="49">
        <f>E12/100</f>
        <v>0</v>
      </c>
      <c r="E46" s="56">
        <f>MAX(C46:D46)</f>
        <v>0.27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4.2690000000000001</v>
      </c>
      <c r="D48" s="56">
        <f>D42</f>
        <v>8.8999999999999996E-2</v>
      </c>
      <c r="E48" s="56">
        <f>MAX(C48:D48)</f>
        <v>4.2690000000000001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referrals</v>
      </c>
      <c r="C50" s="49">
        <f t="shared" si="9"/>
        <v>0.8</v>
      </c>
      <c r="D50" s="49">
        <f t="shared" si="9"/>
        <v>0.01</v>
      </c>
      <c r="E50" s="49">
        <f>MAX(C50:D50)</f>
        <v>0.8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0.28999999999999998</v>
      </c>
      <c r="D51" s="49">
        <f>IF(($E45&gt;0),D45,D44)</f>
        <v>0</v>
      </c>
      <c r="E51" s="49">
        <f>MAX(C51:D51)</f>
        <v>0.28999999999999998</v>
      </c>
      <c r="G51" s="1" t="str">
        <f>G45</f>
        <v>per 100 youth petitioned</v>
      </c>
      <c r="L51" s="58">
        <f>IF(($E45&gt;0),L45,L44)</f>
        <v>100</v>
      </c>
      <c r="M51" s="58"/>
    </row>
    <row r="52" spans="2:18" ht="15" hidden="1" customHeight="1">
      <c r="B52" s="49" t="str">
        <f>IF(($E46&gt;0),B46,B45)</f>
        <v>per 100 youth found delinquent</v>
      </c>
      <c r="C52" s="49">
        <f>IF(($E46&gt;0),C46,C45)</f>
        <v>0.27</v>
      </c>
      <c r="D52" s="49">
        <f>IF(($E46&gt;0),D46,D45)</f>
        <v>0</v>
      </c>
      <c r="E52" s="56">
        <f>MAX(C52:D52)</f>
        <v>0.27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4.2690000000000001</v>
      </c>
      <c r="D54" s="56">
        <f>D48</f>
        <v>8.8999999999999996E-2</v>
      </c>
      <c r="E54" s="56">
        <f>MAX(C54:D54)</f>
        <v>4.2690000000000001</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referrals</v>
      </c>
      <c r="C56" s="49">
        <f t="shared" si="10"/>
        <v>0.8</v>
      </c>
      <c r="D56" s="49">
        <f t="shared" si="10"/>
        <v>0.01</v>
      </c>
      <c r="E56" s="49">
        <f>MAX(C56:D56)</f>
        <v>0.8</v>
      </c>
      <c r="G56" s="1" t="str">
        <f>G50</f>
        <v>per 100 referrals</v>
      </c>
      <c r="L56" s="58">
        <f>IF(($E50&gt;0),L50,L49)</f>
        <v>100</v>
      </c>
      <c r="M56" s="58"/>
    </row>
    <row r="57" spans="2:18" ht="15" hidden="1" customHeight="1">
      <c r="B57" s="49" t="str">
        <f>IF(($E51&gt;0),B51,B49)</f>
        <v>per 100 youth petitioned</v>
      </c>
      <c r="C57" s="49">
        <f>IF(($E51&gt;0),C51,C50)</f>
        <v>0.28999999999999998</v>
      </c>
      <c r="D57" s="49">
        <f>IF(($E51&gt;0),D51,D50)</f>
        <v>0</v>
      </c>
      <c r="E57" s="49">
        <f>MAX(C57:D57)</f>
        <v>0.28999999999999998</v>
      </c>
      <c r="G57" s="1" t="str">
        <f>G51</f>
        <v>per 100 youth petitioned</v>
      </c>
      <c r="L57" s="58">
        <f>IF(($E51&gt;0),L51,L50)</f>
        <v>100</v>
      </c>
      <c r="M57" s="58"/>
    </row>
    <row r="58" spans="2:18" ht="15" hidden="1" customHeight="1">
      <c r="B58" s="49" t="str">
        <f>IF(($E52&gt;0),B52,B51)</f>
        <v>per 100 youth found delinquent</v>
      </c>
      <c r="C58" s="49">
        <f>IF(($E52&gt;0),C52,C51)</f>
        <v>0.27</v>
      </c>
      <c r="D58" s="49">
        <f>IF(($E52&gt;0),D52,D51)</f>
        <v>0</v>
      </c>
      <c r="E58" s="56">
        <f>MAX(C58:D58)</f>
        <v>0.27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4.2690000000000001</v>
      </c>
      <c r="D60" s="56">
        <f>D54</f>
        <v>8.8999999999999996E-2</v>
      </c>
      <c r="E60" s="56">
        <f>MAX(C60:D60)</f>
        <v>4.2690000000000001</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referrals</v>
      </c>
      <c r="C62" s="49">
        <f t="shared" si="11"/>
        <v>0.8</v>
      </c>
      <c r="D62" s="49">
        <f t="shared" si="11"/>
        <v>0.01</v>
      </c>
      <c r="E62" s="49">
        <f>MAX(C62:D62)</f>
        <v>0.8</v>
      </c>
      <c r="G62" s="1" t="str">
        <f>G56</f>
        <v>per 100 referrals</v>
      </c>
      <c r="L62" s="58">
        <f>IF(($E56&gt;0),L56,L55)</f>
        <v>100</v>
      </c>
      <c r="M62" s="58"/>
    </row>
    <row r="63" spans="2:18" ht="15" hidden="1" customHeight="1">
      <c r="B63" s="49" t="str">
        <f>IF(($E57&gt;0),B57,B55)</f>
        <v>per 100 youth petitioned</v>
      </c>
      <c r="C63" s="49">
        <f>IF(($E57&gt;0),C57,C56)</f>
        <v>0.28999999999999998</v>
      </c>
      <c r="D63" s="49">
        <f>IF(($E57&gt;0),D57,D56)</f>
        <v>0</v>
      </c>
      <c r="E63" s="49">
        <f>MAX(C63:D63)</f>
        <v>0.28999999999999998</v>
      </c>
      <c r="G63" s="1" t="str">
        <f>G57</f>
        <v>per 100 youth petitioned</v>
      </c>
      <c r="L63" s="58">
        <f>IF(($E57&gt;0),L57,L56)</f>
        <v>100</v>
      </c>
      <c r="M63" s="58"/>
    </row>
    <row r="64" spans="2:18" ht="15" hidden="1" customHeight="1">
      <c r="B64" s="49" t="str">
        <f>IF(($E58&gt;0),B58,B57)</f>
        <v>per 100 youth found delinquent</v>
      </c>
      <c r="C64" s="49">
        <f>IF(($E58&gt;0),C58,C57)</f>
        <v>0.27</v>
      </c>
      <c r="D64" s="49">
        <f>IF(($E58&gt;0),D58,D57)</f>
        <v>0</v>
      </c>
      <c r="E64" s="56">
        <f>MAX(C64:D64)</f>
        <v>0.27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4.2690000000000001</v>
      </c>
      <c r="D66" s="56">
        <f>D60</f>
        <v>8.8999999999999996E-2</v>
      </c>
      <c r="E66" s="56">
        <f>MAX(C66:D66)</f>
        <v>4.2690000000000001</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referrals</v>
      </c>
      <c r="C68" s="49">
        <f t="shared" si="12"/>
        <v>0.8</v>
      </c>
      <c r="D68" s="49">
        <f t="shared" si="12"/>
        <v>0.01</v>
      </c>
      <c r="E68" s="49">
        <f>MAX(C68:D68)</f>
        <v>0.8</v>
      </c>
      <c r="G68" s="1" t="str">
        <f>G62</f>
        <v>per 100 referrals</v>
      </c>
      <c r="L68" s="58">
        <f>IF(($E62&gt;0),L62,L61)</f>
        <v>100</v>
      </c>
      <c r="M68" s="58">
        <f>IF((B68=G68),1,2)</f>
        <v>1</v>
      </c>
    </row>
    <row r="69" spans="2:13" ht="15" hidden="1" customHeight="1">
      <c r="B69" s="49" t="str">
        <f>IF(($E63&gt;0),B63,B61)</f>
        <v>per 100 youth petitioned</v>
      </c>
      <c r="C69" s="49">
        <f>IF(($E63&gt;0),C63,C62)</f>
        <v>0.28999999999999998</v>
      </c>
      <c r="D69" s="49">
        <f>IF(($E63&gt;0),D63,D62)</f>
        <v>0</v>
      </c>
      <c r="E69" s="49">
        <f>MAX(C69:D69)</f>
        <v>0.28999999999999998</v>
      </c>
      <c r="G69" s="1" t="str">
        <f>G63</f>
        <v>per 100 youth petitioned</v>
      </c>
      <c r="L69" s="58">
        <f>IF(($E63&gt;0),L63,L62)</f>
        <v>100</v>
      </c>
      <c r="M69" s="58">
        <f>IF((B69=G69),1,2)</f>
        <v>1</v>
      </c>
    </row>
    <row r="70" spans="2:13" ht="15" hidden="1" customHeight="1">
      <c r="B70" s="49" t="str">
        <f>IF(($E64&gt;0),B64,B63)</f>
        <v>per 100 youth found delinquent</v>
      </c>
      <c r="C70" s="49">
        <f>IF(($E64&gt;0),C64,C63)</f>
        <v>0.27</v>
      </c>
      <c r="D70" s="49">
        <f>IF(($E64&gt;0),D64,D63)</f>
        <v>0</v>
      </c>
      <c r="E70" s="56">
        <f>MAX(C70:D70)</f>
        <v>0.27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U47JMPN4QEAR-1806752177-30442</_dlc_DocId>
    <_dlc_DocIdUrl xmlns="ac3811b5-0f3e-49e2-ba69-f2ffa0c782af">
      <Url>https://michiganphi.sharepoint.com/sites/CMDMC/_layouts/15/DocIdRedir.aspx?ID=U47JMPN4QEAR-1806752177-30442</Url>
      <Description>U47JMPN4QEAR-1806752177-30442</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8CCD0BD-C8D2-4CE4-A0FF-3A6C07BE1B76}">
  <ds:schemaRefs>
    <ds:schemaRef ds:uri="http://schemas.microsoft.com/sharepoint/v3/contenttype/forms"/>
  </ds:schemaRefs>
</ds:datastoreItem>
</file>

<file path=customXml/itemProps2.xml><?xml version="1.0" encoding="utf-8"?>
<ds:datastoreItem xmlns:ds="http://schemas.openxmlformats.org/officeDocument/2006/customXml" ds:itemID="{F09B91A0-DAB2-410A-B2D7-813B0B59E1CE}">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F0C69219-2DAE-4AF5-B7F3-407E5E6AA952}"/>
</file>

<file path=customXml/itemProps4.xml><?xml version="1.0" encoding="utf-8"?>
<ds:datastoreItem xmlns:ds="http://schemas.openxmlformats.org/officeDocument/2006/customXml" ds:itemID="{41F2F255-1EC2-487B-9EB6-6481A0112D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d0ac3cd3-708d-4985-9b13-d84301621475</vt:lpwstr>
  </property>
</Properties>
</file>