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495653EC-C0AF-4F99-ABDE-AEA9D63B9C40}"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4"/>
  <c r="M66" i="4"/>
  <c r="F27" i="2"/>
  <c r="M66" i="2"/>
  <c r="F27" i="5"/>
  <c r="M66" i="5"/>
  <c r="M66" i="7"/>
  <c r="F27" i="7"/>
  <c r="M66" i="6"/>
  <c r="F27"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3" i="7"/>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L64" i="3"/>
  <c r="C64" i="5"/>
  <c r="L64" i="5"/>
  <c r="L56" i="8"/>
  <c r="E58" i="8"/>
  <c r="L64" i="8" s="1"/>
  <c r="B56"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D64" i="8"/>
  <c r="B64" i="8"/>
  <c r="C63" i="3"/>
  <c r="C64" i="8"/>
  <c r="E64" i="8" s="1"/>
  <c r="E57" i="8"/>
  <c r="B63" i="8" s="1"/>
  <c r="Q8" i="13"/>
  <c r="I7" i="9"/>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C70" i="5" s="1"/>
  <c r="B63" i="5"/>
  <c r="B70" i="5" s="1"/>
  <c r="F33" i="5" s="1"/>
  <c r="L63" i="5"/>
  <c r="F8" i="5"/>
  <c r="L70" i="5" l="1"/>
  <c r="Q13" i="5" s="1"/>
  <c r="D70" i="5"/>
  <c r="F14" i="5" s="1"/>
  <c r="L70" i="3"/>
  <c r="B70" i="3"/>
  <c r="M70" i="3" s="1"/>
  <c r="L70" i="6"/>
  <c r="E63" i="3"/>
  <c r="C69" i="3" s="1"/>
  <c r="D12" i="3" s="1"/>
  <c r="C69" i="7"/>
  <c r="D12" i="7" s="1"/>
  <c r="D63" i="8"/>
  <c r="D70" i="6"/>
  <c r="F13" i="6" s="1"/>
  <c r="C63" i="8"/>
  <c r="L63" i="8"/>
  <c r="L70" i="8" s="1"/>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14" i="6"/>
  <c r="F31" i="4"/>
  <c r="O9" i="4"/>
  <c r="M68" i="4"/>
  <c r="E70" i="4"/>
  <c r="F29" i="4"/>
  <c r="F13" i="4"/>
  <c r="F33" i="4"/>
  <c r="F10" i="4"/>
  <c r="O10" i="4"/>
  <c r="M67" i="5"/>
  <c r="O11" i="3"/>
  <c r="T11" i="3" s="1"/>
  <c r="O14" i="4"/>
  <c r="Q13" i="4"/>
  <c r="F30" i="3"/>
  <c r="D13" i="3"/>
  <c r="Q9" i="3"/>
  <c r="O10" i="3"/>
  <c r="E68" i="3"/>
  <c r="O9" i="3"/>
  <c r="F31" i="3"/>
  <c r="F29" i="3"/>
  <c r="D14" i="4"/>
  <c r="L70" i="7"/>
  <c r="O14" i="7" s="1"/>
  <c r="M69" i="7"/>
  <c r="C70" i="8"/>
  <c r="B70" i="8"/>
  <c r="M70" i="8" s="1"/>
  <c r="E64" i="2"/>
  <c r="L70" i="2" s="1"/>
  <c r="L67" i="6"/>
  <c r="F10" i="3"/>
  <c r="F11" i="3"/>
  <c r="D67" i="6"/>
  <c r="F8" i="6" s="1"/>
  <c r="Q13" i="3"/>
  <c r="M70" i="5"/>
  <c r="D13" i="5"/>
  <c r="Q14" i="5"/>
  <c r="D14" i="5"/>
  <c r="F35" i="7"/>
  <c r="Q14" i="3"/>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8" i="2"/>
  <c r="E62" i="8"/>
  <c r="O13" i="6" l="1"/>
  <c r="O14" i="5"/>
  <c r="E70" i="5"/>
  <c r="F34" i="3"/>
  <c r="O13" i="5"/>
  <c r="F13" i="5"/>
  <c r="D69" i="3"/>
  <c r="E69" i="3" s="1"/>
  <c r="B69" i="6"/>
  <c r="M69" i="6" s="1"/>
  <c r="F33" i="3"/>
  <c r="L69" i="3"/>
  <c r="Q12" i="3" s="1"/>
  <c r="Q13" i="8"/>
  <c r="E70" i="3"/>
  <c r="E69" i="7"/>
  <c r="Q15" i="7"/>
  <c r="D15" i="7"/>
  <c r="B69" i="3"/>
  <c r="M69" i="3" s="1"/>
  <c r="O13" i="3"/>
  <c r="K13" i="3" s="1"/>
  <c r="F14" i="3"/>
  <c r="Q12" i="7"/>
  <c r="E63" i="8"/>
  <c r="D69" i="8" s="1"/>
  <c r="F12" i="8" s="1"/>
  <c r="O12" i="7"/>
  <c r="O15" i="7"/>
  <c r="Q13" i="6"/>
  <c r="K13" i="6" s="1"/>
  <c r="Q14" i="6"/>
  <c r="E70" i="6"/>
  <c r="O14" i="6"/>
  <c r="D14" i="6"/>
  <c r="C69" i="6"/>
  <c r="D12" i="6" s="1"/>
  <c r="F12" i="7"/>
  <c r="O14" i="3"/>
  <c r="R14" i="3" s="1"/>
  <c r="S14" i="3" s="1"/>
  <c r="U14" i="3" s="1"/>
  <c r="J14" i="3" s="1"/>
  <c r="M14" i="3" s="1"/>
  <c r="G14" i="3" s="1"/>
  <c r="I15" i="16" s="1"/>
  <c r="D69" i="6"/>
  <c r="F12" i="6" s="1"/>
  <c r="T10" i="3"/>
  <c r="K10" i="4"/>
  <c r="F8" i="7"/>
  <c r="T9" i="4"/>
  <c r="T11" i="4"/>
  <c r="U11" i="4" s="1"/>
  <c r="J11" i="4" s="1"/>
  <c r="K11" i="4"/>
  <c r="R10" i="4"/>
  <c r="S10" i="4" s="1"/>
  <c r="T8" i="3"/>
  <c r="U8" i="3" s="1"/>
  <c r="J8" i="3" s="1"/>
  <c r="F12" i="3"/>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3" i="8" l="1"/>
  <c r="S13" i="8" s="1"/>
  <c r="F35" i="6"/>
  <c r="T13" i="3"/>
  <c r="F32" i="3"/>
  <c r="Q15" i="6"/>
  <c r="Q12" i="6"/>
  <c r="F32" i="6"/>
  <c r="R13" i="3"/>
  <c r="S13" i="3" s="1"/>
  <c r="U13" i="3" s="1"/>
  <c r="J13" i="3" s="1"/>
  <c r="M13" i="3" s="1"/>
  <c r="G13" i="3" s="1"/>
  <c r="B69" i="8"/>
  <c r="M69" i="8" s="1"/>
  <c r="L69" i="8"/>
  <c r="O15" i="8" s="1"/>
  <c r="R14" i="8"/>
  <c r="S14" i="8" s="1"/>
  <c r="O15" i="6"/>
  <c r="K15" i="6" s="1"/>
  <c r="F15" i="8"/>
  <c r="C69" i="8"/>
  <c r="T14" i="6"/>
  <c r="Q15" i="3"/>
  <c r="O12" i="3"/>
  <c r="R12" i="3" s="1"/>
  <c r="S12" i="3" s="1"/>
  <c r="F35" i="3"/>
  <c r="O15" i="3"/>
  <c r="R15" i="7"/>
  <c r="S15" i="7" s="1"/>
  <c r="U15" i="7" s="1"/>
  <c r="J15" i="7" s="1"/>
  <c r="M15" i="7" s="1"/>
  <c r="K14" i="3"/>
  <c r="L14" i="3" s="1"/>
  <c r="P15" i="16" s="1"/>
  <c r="K14" i="6"/>
  <c r="R14" i="6"/>
  <c r="S14" i="6" s="1"/>
  <c r="U14" i="6" s="1"/>
  <c r="J14" i="6" s="1"/>
  <c r="M14" i="6" s="1"/>
  <c r="G14" i="6" s="1"/>
  <c r="M15" i="13" s="1"/>
  <c r="R12" i="7"/>
  <c r="S12" i="7" s="1"/>
  <c r="U12" i="7" s="1"/>
  <c r="J12" i="7" s="1"/>
  <c r="M12" i="7" s="1"/>
  <c r="T13" i="6"/>
  <c r="T12" i="7"/>
  <c r="T14" i="3"/>
  <c r="K12" i="7"/>
  <c r="R13" i="6"/>
  <c r="S13" i="6" s="1"/>
  <c r="U13" i="6" s="1"/>
  <c r="J13" i="6" s="1"/>
  <c r="M13" i="6" s="1"/>
  <c r="G13" i="6" s="1"/>
  <c r="M14" i="13" s="1"/>
  <c r="U10" i="4"/>
  <c r="J10" i="4" s="1"/>
  <c r="M10" i="4" s="1"/>
  <c r="G10" i="4" s="1"/>
  <c r="G11" i="16" s="1"/>
  <c r="K15" i="7"/>
  <c r="T15" i="7"/>
  <c r="O12" i="6"/>
  <c r="T13" i="8"/>
  <c r="U13" i="8" s="1"/>
  <c r="J13" i="8" s="1"/>
  <c r="M13" i="8" s="1"/>
  <c r="E69" i="6"/>
  <c r="D15" i="6"/>
  <c r="F15" i="6"/>
  <c r="L13" i="4"/>
  <c r="O14" i="16" s="1"/>
  <c r="L11" i="4"/>
  <c r="O12" i="16" s="1"/>
  <c r="K8" i="7"/>
  <c r="O13" i="2"/>
  <c r="O12" i="8"/>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K13" i="7"/>
  <c r="T8" i="2"/>
  <c r="U8" i="2" s="1"/>
  <c r="J8" i="2" s="1"/>
  <c r="M11" i="4"/>
  <c r="G11" i="4" s="1"/>
  <c r="T14" i="7"/>
  <c r="U14" i="7" s="1"/>
  <c r="J14" i="7" s="1"/>
  <c r="K14" i="7"/>
  <c r="N30" i="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L13" i="3" l="1"/>
  <c r="P14" i="16" s="1"/>
  <c r="K12" i="3"/>
  <c r="T12" i="3"/>
  <c r="K12" i="6"/>
  <c r="F35" i="8"/>
  <c r="F32" i="8"/>
  <c r="U14" i="8"/>
  <c r="J14" i="8" s="1"/>
  <c r="N30" i="8" s="1"/>
  <c r="Q12" i="8"/>
  <c r="K12" i="8" s="1"/>
  <c r="K15" i="3"/>
  <c r="T15" i="6"/>
  <c r="R15" i="6"/>
  <c r="S15" i="6" s="1"/>
  <c r="U15" i="6" s="1"/>
  <c r="J15" i="6" s="1"/>
  <c r="L15" i="6" s="1"/>
  <c r="R16" i="16" s="1"/>
  <c r="Q15" i="8"/>
  <c r="R15" i="8" s="1"/>
  <c r="S15" i="8" s="1"/>
  <c r="U15" i="8" s="1"/>
  <c r="J15" i="8" s="1"/>
  <c r="D12" i="8"/>
  <c r="G13" i="8"/>
  <c r="Q14" i="13" s="1"/>
  <c r="E69" i="8"/>
  <c r="D15" i="8"/>
  <c r="L15" i="7"/>
  <c r="S16" i="16" s="1"/>
  <c r="R15" i="3"/>
  <c r="S15" i="3" s="1"/>
  <c r="U15" i="3" s="1"/>
  <c r="J15" i="3" s="1"/>
  <c r="M15" i="3" s="1"/>
  <c r="G15" i="3" s="1"/>
  <c r="I16" i="16" s="1"/>
  <c r="L10" i="4"/>
  <c r="O11" i="16" s="1"/>
  <c r="D10" i="9"/>
  <c r="T15" i="3"/>
  <c r="T12" i="6"/>
  <c r="L12" i="7"/>
  <c r="S13" i="16" s="1"/>
  <c r="G13" i="9"/>
  <c r="L13" i="8"/>
  <c r="T14" i="16" s="1"/>
  <c r="L13" i="6"/>
  <c r="R14" i="16" s="1"/>
  <c r="R12" i="6"/>
  <c r="S12" i="6" s="1"/>
  <c r="U12" i="6" s="1"/>
  <c r="J12" i="6" s="1"/>
  <c r="M12" i="6" s="1"/>
  <c r="G12" i="6" s="1"/>
  <c r="G11" i="13"/>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D13" i="9"/>
  <c r="G14" i="13"/>
  <c r="K9" i="7"/>
  <c r="T14" i="2"/>
  <c r="V12" i="13"/>
  <c r="U10" i="13"/>
  <c r="N11" i="9"/>
  <c r="T15" i="5"/>
  <c r="W14" i="13"/>
  <c r="N13" i="9"/>
  <c r="N14" i="9"/>
  <c r="L13" i="7"/>
  <c r="S14" i="16" s="1"/>
  <c r="M9" i="3"/>
  <c r="G9" i="3" s="1"/>
  <c r="I10" i="13" s="1"/>
  <c r="I14" i="13"/>
  <c r="I14" i="16"/>
  <c r="G12" i="13"/>
  <c r="G12" i="16"/>
  <c r="N9" i="9"/>
  <c r="P10" i="16"/>
  <c r="M14" i="7"/>
  <c r="N30" i="7"/>
  <c r="L14" i="7"/>
  <c r="S15" i="16" s="1"/>
  <c r="L8" i="7"/>
  <c r="S9" i="16" s="1"/>
  <c r="O13" i="9"/>
  <c r="V14" i="13"/>
  <c r="M9" i="9"/>
  <c r="O14" i="9"/>
  <c r="V10" i="13"/>
  <c r="V15" i="13"/>
  <c r="W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M15" i="6" l="1"/>
  <c r="G15" i="6" s="1"/>
  <c r="G15" i="9" s="1"/>
  <c r="M14" i="8"/>
  <c r="G14" i="8" s="1"/>
  <c r="K15" i="16" s="1"/>
  <c r="L14" i="8"/>
  <c r="T15" i="16" s="1"/>
  <c r="Q15" i="9"/>
  <c r="T12" i="8"/>
  <c r="R12" i="8"/>
  <c r="S12" i="8" s="1"/>
  <c r="L15" i="3"/>
  <c r="P16" i="16" s="1"/>
  <c r="Y13" i="13"/>
  <c r="T15" i="8"/>
  <c r="K15" i="8"/>
  <c r="L15" i="8" s="1"/>
  <c r="T16" i="16" s="1"/>
  <c r="Y16" i="13"/>
  <c r="Q12" i="9"/>
  <c r="U11" i="13"/>
  <c r="M10" i="9"/>
  <c r="E15" i="9"/>
  <c r="K14" i="16"/>
  <c r="I13" i="9"/>
  <c r="I16" i="13"/>
  <c r="U14" i="2"/>
  <c r="J14" i="2" s="1"/>
  <c r="M14" i="2" s="1"/>
  <c r="G14" i="2" s="1"/>
  <c r="E15" i="16" s="1"/>
  <c r="R13" i="9"/>
  <c r="Z14" i="13"/>
  <c r="P13" i="9"/>
  <c r="U13" i="2"/>
  <c r="J13" i="2" s="1"/>
  <c r="M13" i="2" s="1"/>
  <c r="G13" i="2" s="1"/>
  <c r="E14" i="16" s="1"/>
  <c r="L12" i="6"/>
  <c r="R13" i="16" s="1"/>
  <c r="X14" i="13"/>
  <c r="U10" i="7"/>
  <c r="J10" i="7" s="1"/>
  <c r="L10" i="7" s="1"/>
  <c r="S11" i="16" s="1"/>
  <c r="L8" i="6"/>
  <c r="R9" i="16" s="1"/>
  <c r="R14" i="9"/>
  <c r="X16" i="13"/>
  <c r="P15" i="9"/>
  <c r="L15" i="5"/>
  <c r="Q16" i="16" s="1"/>
  <c r="T9" i="13"/>
  <c r="L8" i="9"/>
  <c r="X15" i="13"/>
  <c r="P14" i="9"/>
  <c r="G8" i="9"/>
  <c r="Q14" i="9"/>
  <c r="Y15" i="13"/>
  <c r="Y14" i="13"/>
  <c r="E9" i="13"/>
  <c r="Q13" i="9"/>
  <c r="L10" i="2"/>
  <c r="N11" i="16" s="1"/>
  <c r="L11" i="6"/>
  <c r="R12" i="16" s="1"/>
  <c r="I10" i="16"/>
  <c r="C8" i="9"/>
  <c r="E9" i="9"/>
  <c r="G12" i="9"/>
  <c r="M13" i="13"/>
  <c r="G11" i="9"/>
  <c r="M12" i="13"/>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U12" i="8" l="1"/>
  <c r="J12" i="8" s="1"/>
  <c r="M12" i="8" s="1"/>
  <c r="G12" i="8" s="1"/>
  <c r="K13" i="16" s="1"/>
  <c r="Z15" i="13"/>
  <c r="N15" i="9"/>
  <c r="Q15" i="13"/>
  <c r="I14" i="9"/>
  <c r="V16" i="13"/>
  <c r="X13" i="13"/>
  <c r="M10" i="7"/>
  <c r="L14" i="2"/>
  <c r="N15" i="16" s="1"/>
  <c r="N30" i="2"/>
  <c r="E15" i="13"/>
  <c r="C14" i="9"/>
  <c r="C13" i="9"/>
  <c r="E14" i="13"/>
  <c r="L13" i="2"/>
  <c r="N14" i="16" s="1"/>
  <c r="L12" i="8"/>
  <c r="T13" i="16" s="1"/>
  <c r="P12"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5" i="13" l="1"/>
  <c r="Z13" i="13"/>
  <c r="L14" i="9"/>
  <c r="R12" i="9"/>
  <c r="L13" i="9"/>
  <c r="T14"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<sst xmlns="http://schemas.openxmlformats.org/spreadsheetml/2006/main" count="654" uniqueCount="141">
  <si>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</si>
  <si>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</si>
  <si>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</si>
  <si>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</si>
  <si>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</si>
  <si>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</si>
  <si>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</si>
  <si>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</si>
  <si>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</si>
  <si>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</si>
  <si>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</si>
  <si>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</si>
  <si>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</si>
  <si>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</si>
  <si>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</si>
  <si>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</si>
  <si>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</si>
  <si>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</si>
  <si>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</si>
  <si>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</si>
  <si>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</si>
  <si>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</si>
  <si>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</si>
  <si>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</si>
  <si>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</si>
  <si>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</si>
  <si>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</si>
  <si>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</si>
  <si>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</si>
  <si>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</si>
  <si>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</si>
  <si>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</si>
  <si>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</si>
  <si>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</si>
  <si>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</si>
  <si>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</si>
  <si>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</si>
  <si>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</si>
  <si>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</si>
  <si>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</si>
  <si>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</si>
  <si>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</si>
  <si>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</si>
  <si>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</si>
  <si>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</si>
  <si>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</si>
  <si>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</si>
  <si>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</si>
  <si>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</si>
  <si>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</si>
  <si>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</si>
  <si>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</si>
  <si>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</si>
  <si>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</si>
  <si>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</si>
  <si>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</si>
  <si>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</si>
  <si>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</si>
  <si>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</si>
  <si>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</si>
  <si>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</si>
  <si>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</si>
  <si>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</si>
  <si>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</si>
  <si>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</si>
  <si>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</si>
  <si>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</si>
  <si>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</si>
  <si>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</si>
  <si>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</si>
  <si>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</si>
  <si>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</si>
  <si>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</si>
  <si>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</si>
  <si>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</si>
  <si>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</si>
  <si>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</si>
  <si>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</si>
  <si>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</si>
  <si>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</si>
  <si>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</si>
  <si>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</si>
  <si>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</si>
  <si>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</si>
  <si>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</si>
  <si>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</si>
  <si>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</si>
  <si>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</si>
  <si>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</si>
  <si>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</si>
  <si>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</si>
  <si>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</si>
  <si>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</si>
  <si>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</si>
  <si>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</si>
  <si>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</si>
  <si>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</si>
  <si>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</si>
  <si>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</si>
  <si>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</si>
  <si>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</si>
  <si>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</si>
  <si>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</si>
  <si>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</si>
  <si>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</si>
  <si>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</si>
  <si>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</si>
  <si>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</si>
  <si>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</si>
  <si>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</si>
  <si>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</si>
  <si>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</si>
  <si>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</si>
  <si>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</si>
  <si>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</si>
  <si>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</si>
  <si>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</si>
  <si>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</si>
  <si>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</si>
  <si>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</si>
  <si>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</si>
  <si>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</si>
  <si>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</si>
  <si>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</si>
  <si>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</si>
  <si>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</si>
  <si>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</si>
  <si>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</si>
  <si>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</si>
  <si>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</si>
  <si>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</si>
  <si>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</si>
  <si>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</si>
  <si>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</si>
  <si>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</si>
  <si>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</si>
  <si>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</si>
  <si>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Cass</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</si>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</sst>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Cass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N=38</c:v>
                </c:pt>
                <c:pt idx="3">
                  <c:v>Petitions, total N=39</c:v>
                </c:pt>
                <c:pt idx="4">
                  <c:v>Detentions, total N=0</c:v>
                </c:pt>
                <c:pt idx="5">
                  <c:v>Referrals, total N=87</c:v>
                </c:pt>
                <c:pt idx="6">
                  <c:v>Arrests, total N=2</c:v>
                </c:pt>
                <c:pt idx="7">
                  <c:v>Population, total N=4575</c:v>
                </c:pt>
              </c:strCache>
            </c:strRef>
          </c:cat>
          <c:val>
            <c:numRef>
              <c:f>'Stacked 100%'!$B$7:$B$14</c:f>
              <c:numCache>
                <c:formatCode>0%</c:formatCode>
                <c:ptCount val="8"/>
                <c:pt idx="0">
                  <c:v>0</c:v>
                </c:pt>
                <c:pt idx="1">
                  <c:v>0</c:v>
                </c:pt>
                <c:pt idx="2">
                  <c:v>0.28947368421052633</c:v>
                </c:pt>
                <c:pt idx="3">
                  <c:v>0.28205128205128205</c:v>
                </c:pt>
                <c:pt idx="4">
                  <c:v>0</c:v>
                </c:pt>
                <c:pt idx="5">
                  <c:v>0.26436781609195403</c:v>
                </c:pt>
                <c:pt idx="6">
                  <c:v>0</c:v>
                </c:pt>
                <c:pt idx="7">
                  <c:v>8.3934426229508197E-2</c:v>
                </c:pt>
              </c:numCache>
            </c:numRef>
          </c:val>
          <c:extLst>
            <c:ext xmlns:c16="http://schemas.microsoft.com/office/drawing/2014/chart" uri="{C3380CC4-5D6E-409C-BE32-E72D297353CC}">
              <c16:uniqueId val="{00000000-EA84-44F9-B7B1-51184775CB7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N=38</c:v>
                </c:pt>
                <c:pt idx="3">
                  <c:v>Petitions, total N=39</c:v>
                </c:pt>
                <c:pt idx="4">
                  <c:v>Detentions, total N=0</c:v>
                </c:pt>
                <c:pt idx="5">
                  <c:v>Referrals, total N=87</c:v>
                </c:pt>
                <c:pt idx="6">
                  <c:v>Arrests, total N=2</c:v>
                </c:pt>
                <c:pt idx="7">
                  <c:v>Population, total N=4575</c:v>
                </c:pt>
              </c:strCache>
            </c:strRef>
          </c:cat>
          <c:val>
            <c:numRef>
              <c:f>'Stacked 100%'!$C$7:$C$14</c:f>
              <c:numCache>
                <c:formatCode>0%</c:formatCode>
                <c:ptCount val="8"/>
                <c:pt idx="0">
                  <c:v>0</c:v>
                </c:pt>
                <c:pt idx="1">
                  <c:v>0</c:v>
                </c:pt>
                <c:pt idx="2">
                  <c:v>0</c:v>
                </c:pt>
                <c:pt idx="3">
                  <c:v>0</c:v>
                </c:pt>
                <c:pt idx="4">
                  <c:v>0</c:v>
                </c:pt>
                <c:pt idx="5">
                  <c:v>0</c:v>
                </c:pt>
                <c:pt idx="6">
                  <c:v>0</c:v>
                </c:pt>
                <c:pt idx="7">
                  <c:v>7.5628415300546453E-2</c:v>
                </c:pt>
              </c:numCache>
            </c:numRef>
          </c:val>
          <c:extLst>
            <c:ext xmlns:c16="http://schemas.microsoft.com/office/drawing/2014/chart" uri="{C3380CC4-5D6E-409C-BE32-E72D297353CC}">
              <c16:uniqueId val="{00000001-EA84-44F9-B7B1-51184775CB7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c:v>
                </c:pt>
                <c:pt idx="2">
                  <c:v>Delinquent Findings, total N=38</c:v>
                </c:pt>
                <c:pt idx="3">
                  <c:v>Petitions, total N=39</c:v>
                </c:pt>
                <c:pt idx="4">
                  <c:v>Detentions, total N=0</c:v>
                </c:pt>
                <c:pt idx="5">
                  <c:v>Referrals, total N=87</c:v>
                </c:pt>
                <c:pt idx="6">
                  <c:v>Arrests, total N=2</c:v>
                </c:pt>
                <c:pt idx="7">
                  <c:v>Population, total N=4575</c:v>
                </c:pt>
              </c:strCache>
            </c:strRef>
          </c:cat>
          <c:val>
            <c:numRef>
              <c:f>'Stacked 100%'!$H$7:$H$14</c:f>
              <c:numCache>
                <c:formatCode>0%</c:formatCode>
                <c:ptCount val="8"/>
                <c:pt idx="0">
                  <c:v>0</c:v>
                </c:pt>
                <c:pt idx="1">
                  <c:v>0</c:v>
                </c:pt>
                <c:pt idx="2">
                  <c:v>0</c:v>
                </c:pt>
                <c:pt idx="3">
                  <c:v>0</c:v>
                </c:pt>
                <c:pt idx="4">
                  <c:v>0</c:v>
                </c:pt>
                <c:pt idx="5">
                  <c:v>1.3211784912141631E-4</c:v>
                </c:pt>
                <c:pt idx="6">
                  <c:v>0</c:v>
                </c:pt>
                <c:pt idx="7">
                  <c:v>5.3032338976977518E-6</c:v>
                </c:pt>
              </c:numCache>
            </c:numRef>
          </c:val>
          <c:extLst>
            <c:ext xmlns:c16="http://schemas.microsoft.com/office/drawing/2014/chart" uri="{C3380CC4-5D6E-409C-BE32-E72D297353CC}">
              <c16:uniqueId val="{00000002-EA84-44F9-B7B1-51184775CB7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N=38</c:v>
                </c:pt>
                <c:pt idx="3">
                  <c:v>Petitions, total N=39</c:v>
                </c:pt>
                <c:pt idx="4">
                  <c:v>Detentions, total N=0</c:v>
                </c:pt>
                <c:pt idx="5">
                  <c:v>Referrals, total N=87</c:v>
                </c:pt>
                <c:pt idx="6">
                  <c:v>Arrests, total N=2</c:v>
                </c:pt>
                <c:pt idx="7">
                  <c:v>Population, total N=4575</c:v>
                </c:pt>
              </c:strCache>
            </c:strRef>
          </c:cat>
          <c:val>
            <c:numRef>
              <c:f>'Stacked 100%'!$I$7:$I$14</c:f>
              <c:numCache>
                <c:formatCode>0%</c:formatCode>
                <c:ptCount val="8"/>
                <c:pt idx="0">
                  <c:v>0</c:v>
                </c:pt>
                <c:pt idx="1">
                  <c:v>1</c:v>
                </c:pt>
                <c:pt idx="2">
                  <c:v>0.71052631578947367</c:v>
                </c:pt>
                <c:pt idx="3">
                  <c:v>0.71794871794871795</c:v>
                </c:pt>
                <c:pt idx="4">
                  <c:v>0</c:v>
                </c:pt>
                <c:pt idx="5">
                  <c:v>0.70114942528735635</c:v>
                </c:pt>
                <c:pt idx="6">
                  <c:v>1</c:v>
                </c:pt>
                <c:pt idx="7">
                  <c:v>0.81617486338797818</c:v>
                </c:pt>
              </c:numCache>
            </c:numRef>
          </c:val>
          <c:extLst>
            <c:ext xmlns:c16="http://schemas.microsoft.com/office/drawing/2014/chart" uri="{C3380CC4-5D6E-409C-BE32-E72D297353CC}">
              <c16:uniqueId val="{00000003-EA84-44F9-B7B1-51184775CB7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c:v>
                </c:pt>
                <c:pt idx="2">
                  <c:v>Delinquent Findings, total N=38</c:v>
                </c:pt>
                <c:pt idx="3">
                  <c:v>Petitions, total N=39</c:v>
                </c:pt>
                <c:pt idx="4">
                  <c:v>Detentions, total N=0</c:v>
                </c:pt>
                <c:pt idx="5">
                  <c:v>Referrals, total N=87</c:v>
                </c:pt>
                <c:pt idx="6">
                  <c:v>Arrests, total N=2</c:v>
                </c:pt>
                <c:pt idx="7">
                  <c:v>Population, total N=4575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EA84-44F9-B7B1-51184775CB7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4575</v>
      </c>
      <c r="C6" s="11">
        <v>3734</v>
      </c>
      <c r="D6" s="11">
        <v>384</v>
      </c>
      <c r="E6" s="11">
        <v>346</v>
      </c>
      <c r="F6" s="11">
        <v>36</v>
      </c>
      <c r="G6" s="11"/>
      <c r="H6" s="11">
        <v>75</v>
      </c>
      <c r="I6" s="11"/>
      <c r="J6" s="91">
        <f>SUM(D6:I6)</f>
        <v>841</v>
      </c>
      <c r="K6" s="92"/>
    </row>
    <row r="7" spans="1:11" ht="15.75" customHeight="1" thickBot="1" x14ac:dyDescent="0.25">
      <c r="A7" s="10" t="s">
        <v>8</v>
      </c>
      <c r="B7" s="11">
        <f t="shared" ref="B7:B15" si="0">SUM(C7:I7)+K7</f>
        <v>2</v>
      </c>
      <c r="C7" s="11">
        <v>2</v>
      </c>
      <c r="D7" s="11"/>
      <c r="E7" s="11"/>
      <c r="F7" s="11"/>
      <c r="G7" s="11"/>
      <c r="H7" s="11"/>
      <c r="I7" s="11"/>
      <c r="J7" s="91">
        <f t="shared" ref="J7:J15" si="1">SUM(D7:I7)</f>
        <v>0</v>
      </c>
      <c r="K7" s="92"/>
    </row>
    <row r="8" spans="1:11" ht="15.75" customHeight="1" thickBot="1" x14ac:dyDescent="0.25">
      <c r="A8" s="10" t="s">
        <v>9</v>
      </c>
      <c r="B8" s="11">
        <f t="shared" si="0"/>
        <v>87</v>
      </c>
      <c r="C8" s="11">
        <v>61</v>
      </c>
      <c r="D8" s="11">
        <v>23</v>
      </c>
      <c r="E8" s="11"/>
      <c r="F8" s="11"/>
      <c r="G8" s="11"/>
      <c r="H8" s="11">
        <v>1</v>
      </c>
      <c r="I8" s="11"/>
      <c r="J8" s="91">
        <f t="shared" si="1"/>
        <v>24</v>
      </c>
      <c r="K8" s="92">
        <v>2</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39</v>
      </c>
      <c r="C11" s="11">
        <v>28</v>
      </c>
      <c r="D11" s="11">
        <v>11</v>
      </c>
      <c r="E11" s="11"/>
      <c r="F11" s="11"/>
      <c r="G11" s="11"/>
      <c r="H11" s="11"/>
      <c r="I11" s="11"/>
      <c r="J11" s="91">
        <f t="shared" si="1"/>
        <v>11</v>
      </c>
      <c r="K11" s="92"/>
    </row>
    <row r="12" spans="1:11" ht="15.75" customHeight="1" thickBot="1" x14ac:dyDescent="0.25">
      <c r="A12" s="10" t="s">
        <v>13</v>
      </c>
      <c r="B12" s="11">
        <f t="shared" si="0"/>
        <v>38</v>
      </c>
      <c r="C12" s="11">
        <v>27</v>
      </c>
      <c r="D12" s="11">
        <v>11</v>
      </c>
      <c r="E12" s="11"/>
      <c r="F12" s="11"/>
      <c r="G12" s="11"/>
      <c r="H12" s="11"/>
      <c r="I12" s="11"/>
      <c r="J12" s="91">
        <f t="shared" si="1"/>
        <v>11</v>
      </c>
      <c r="K12" s="92"/>
    </row>
    <row r="13" spans="1:11" ht="15.75" customHeight="1" thickBot="1" x14ac:dyDescent="0.25">
      <c r="A13" s="10" t="s">
        <v>133</v>
      </c>
      <c r="B13" s="11">
        <f t="shared" si="0"/>
        <v>28</v>
      </c>
      <c r="C13" s="11">
        <v>20</v>
      </c>
      <c r="D13" s="11">
        <v>8</v>
      </c>
      <c r="E13" s="11"/>
      <c r="F13" s="11"/>
      <c r="G13" s="11"/>
      <c r="H13" s="11"/>
      <c r="I13" s="11"/>
      <c r="J13" s="91">
        <f t="shared" si="1"/>
        <v>8</v>
      </c>
      <c r="K13" s="92"/>
    </row>
    <row r="14" spans="1:11" ht="26.25" customHeight="1" thickBot="1" x14ac:dyDescent="0.25">
      <c r="A14" s="10" t="s">
        <v>123</v>
      </c>
      <c r="B14" s="11">
        <f t="shared" si="0"/>
        <v>2</v>
      </c>
      <c r="C14" s="11">
        <v>2</v>
      </c>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Cass</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3734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0.53561863952865563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3732</v>
      </c>
      <c r="R7" s="42">
        <f t="shared" ref="R7:R15" si="5">SUM(N7:Q7)</f>
        <v>3734</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61</v>
      </c>
      <c r="D8" s="34">
        <f>IF((AND(C67&gt;0,C8&gt;0)),(C8/C67),0)</f>
        <v>3050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61</v>
      </c>
      <c r="Q8" s="42">
        <f>(C$67*L67)-C8</f>
        <v>-59</v>
      </c>
      <c r="R8" s="42">
        <f t="shared" si="5"/>
        <v>2.0499999999999972</v>
      </c>
      <c r="S8" s="30">
        <f t="shared" si="6"/>
        <v>19.070124999999976</v>
      </c>
      <c r="T8" s="30">
        <f t="shared" si="7"/>
        <v>-359.59500000000003</v>
      </c>
      <c r="U8" s="31">
        <f t="shared" si="8"/>
        <v>-5.3032230703986362E-2</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61</v>
      </c>
      <c r="R9" s="42">
        <f t="shared" si="5"/>
        <v>61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61</v>
      </c>
      <c r="R10" s="42">
        <f t="shared" si="5"/>
        <v>61</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45.901639344262293</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33</v>
      </c>
      <c r="R11" s="42">
        <f t="shared" si="5"/>
        <v>61</v>
      </c>
      <c r="S11" s="30">
        <f t="shared" si="6"/>
        <v>0</v>
      </c>
      <c r="T11" s="30">
        <f t="shared" si="7"/>
        <v>0</v>
      </c>
      <c r="U11" s="31" t="str">
        <f t="shared" si="8"/>
        <v>- -</v>
      </c>
    </row>
    <row r="12" spans="2:21" ht="18" customHeight="1" x14ac:dyDescent="0.25">
      <c r="B12" s="32" t="str">
        <f>'Data Entry'!A12</f>
        <v>7. Cases Resulting in Delinquent Findings</v>
      </c>
      <c r="C12" s="33">
        <f>'Data Entry'!C12</f>
        <v>27</v>
      </c>
      <c r="D12" s="34">
        <f>IF(((AND(C69&gt;0,C12&gt;0))),(C12/(C69)),0)</f>
        <v>96.428571428571416</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27</v>
      </c>
      <c r="Q12" s="42">
        <f>(C69*L69)-C12</f>
        <v>1.0000000000000036</v>
      </c>
      <c r="R12" s="42">
        <f t="shared" si="5"/>
        <v>28.000000000000004</v>
      </c>
      <c r="S12" s="30">
        <f t="shared" si="6"/>
        <v>0</v>
      </c>
      <c r="T12" s="30">
        <f t="shared" si="7"/>
        <v>0</v>
      </c>
      <c r="U12" s="31" t="str">
        <f t="shared" si="8"/>
        <v>- -</v>
      </c>
    </row>
    <row r="13" spans="2:21" ht="18" customHeight="1" x14ac:dyDescent="0.25">
      <c r="B13" s="32" t="str">
        <f>'Data Entry'!A13</f>
        <v>8. Cases Resulting in Probation Placement</v>
      </c>
      <c r="C13" s="33">
        <f>'Data Entry'!C13</f>
        <v>20</v>
      </c>
      <c r="D13" s="34">
        <f>IF(((AND(C70&gt;0,C13&gt;0))),(C13/(C70)),0)</f>
        <v>74.074074074074076</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20</v>
      </c>
      <c r="Q13" s="42">
        <f>(C70*L70)-C13</f>
        <v>7</v>
      </c>
      <c r="R13" s="42">
        <f t="shared" si="5"/>
        <v>27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v>
      </c>
      <c r="D14" s="34">
        <f>IF(((AND(C70&gt;0,C14&gt;0))), ((C14/(C70))),0)</f>
        <v>7.4074074074074066</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25</v>
      </c>
      <c r="R14" s="42">
        <f t="shared" si="5"/>
        <v>27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3.734</v>
      </c>
      <c r="D42" s="56">
        <f>E6/1000</f>
        <v>0</v>
      </c>
      <c r="E42" s="56">
        <f>MAX(C42:D42)</f>
        <v>3.734</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0.61</v>
      </c>
      <c r="D44" s="56">
        <f>E8/100</f>
        <v>0</v>
      </c>
      <c r="E44" s="56">
        <f>MAX(C44:D44,0)</f>
        <v>0.61</v>
      </c>
      <c r="G44" s="1" t="str">
        <f>B44</f>
        <v>per 100 referrals</v>
      </c>
      <c r="L44" s="57">
        <v>100</v>
      </c>
      <c r="M44" s="57"/>
      <c r="R44" s="49"/>
    </row>
    <row r="45" spans="2:18" ht="15" hidden="1" customHeight="1" x14ac:dyDescent="0.25">
      <c r="B45" s="49" t="s">
        <v>89</v>
      </c>
      <c r="C45" s="49">
        <f>C11/100</f>
        <v>0.28000000000000003</v>
      </c>
      <c r="D45" s="49">
        <f>E11/100</f>
        <v>0</v>
      </c>
      <c r="E45" s="56">
        <f>MAX(C45:D45,0)</f>
        <v>0.28000000000000003</v>
      </c>
      <c r="G45" s="1" t="str">
        <f>B45</f>
        <v>per 100 youth petitioned</v>
      </c>
      <c r="L45" s="57">
        <v>100</v>
      </c>
      <c r="M45" s="57"/>
      <c r="R45" s="49"/>
    </row>
    <row r="46" spans="2:18" ht="15" hidden="1" customHeight="1" x14ac:dyDescent="0.25">
      <c r="B46" s="49" t="s">
        <v>90</v>
      </c>
      <c r="C46" s="49">
        <f>C12/100</f>
        <v>0.27</v>
      </c>
      <c r="D46" s="49">
        <f>E12/100</f>
        <v>0</v>
      </c>
      <c r="E46" s="56">
        <f>MAX(C46:D46)</f>
        <v>0.27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3.734</v>
      </c>
      <c r="D48" s="56">
        <f>D42</f>
        <v>0</v>
      </c>
      <c r="E48" s="56">
        <f>MAX(C48:D48)</f>
        <v>3.734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0.61</v>
      </c>
      <c r="D50" s="49">
        <f t="shared" si="9"/>
        <v>0</v>
      </c>
      <c r="E50" s="49">
        <f>MAX(C50:D50)</f>
        <v>0.61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0.27</v>
      </c>
      <c r="D52" s="49">
        <f>IF(($E46&gt;0),D46,D45)</f>
        <v>0</v>
      </c>
      <c r="E52" s="56">
        <f>MAX(C52:D52)</f>
        <v>0.27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3.734</v>
      </c>
      <c r="D54" s="56">
        <f>D48</f>
        <v>0</v>
      </c>
      <c r="E54" s="56">
        <f>MAX(C54:D54)</f>
        <v>3.734</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referrals</v>
      </c>
      <c r="C56" s="49">
        <f t="shared" si="10"/>
        <v>0.61</v>
      </c>
      <c r="D56" s="49">
        <f t="shared" si="10"/>
        <v>0</v>
      </c>
      <c r="E56" s="49">
        <f>MAX(C56:D56)</f>
        <v>0.61</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0.27</v>
      </c>
      <c r="D58" s="49">
        <f>IF(($E52&gt;0),D52,D51)</f>
        <v>0</v>
      </c>
      <c r="E58" s="56">
        <f>MAX(C58:D58)</f>
        <v>0.27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3.734</v>
      </c>
      <c r="D60" s="56">
        <f>D54</f>
        <v>0</v>
      </c>
      <c r="E60" s="56">
        <f>MAX(C60:D60)</f>
        <v>3.734</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referrals</v>
      </c>
      <c r="C62" s="49">
        <f t="shared" si="11"/>
        <v>0.61</v>
      </c>
      <c r="D62" s="49">
        <f t="shared" si="11"/>
        <v>0</v>
      </c>
      <c r="E62" s="49">
        <f>MAX(C62:D62)</f>
        <v>0.61</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0.27</v>
      </c>
      <c r="D64" s="49">
        <f>IF(($E58&gt;0),D58,D57)</f>
        <v>0</v>
      </c>
      <c r="E64" s="56">
        <f>MAX(C64:D64)</f>
        <v>0.27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3.734</v>
      </c>
      <c r="D66" s="56">
        <f>D60</f>
        <v>0</v>
      </c>
      <c r="E66" s="56">
        <f>MAX(C66:D66)</f>
        <v>3.734</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referrals</v>
      </c>
      <c r="C68" s="49">
        <f t="shared" si="12"/>
        <v>0.61</v>
      </c>
      <c r="D68" s="49">
        <f t="shared" si="12"/>
        <v>0</v>
      </c>
      <c r="E68" s="49">
        <f>MAX(C68:D68)</f>
        <v>0.61</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0.27</v>
      </c>
      <c r="D70" s="49">
        <f>IF(($E64&gt;0),D64,D63)</f>
        <v>0</v>
      </c>
      <c r="E70" s="56">
        <f>MAX(C70:D70)</f>
        <v>0.27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Cass</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3734</v>
      </c>
      <c r="D6" s="34"/>
      <c r="E6" s="33">
        <f>'Data Entry'!J6</f>
        <v>841</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0.53561863952865563</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841</v>
      </c>
      <c r="P7" s="42">
        <f t="shared" ref="P7:P15" si="4">C7</f>
        <v>2</v>
      </c>
      <c r="Q7" s="42">
        <f>C6-C7</f>
        <v>3732</v>
      </c>
      <c r="R7" s="42">
        <f t="shared" ref="R7:R15" si="5">SUM(N7:Q7)</f>
        <v>4575</v>
      </c>
      <c r="S7" s="30">
        <f t="shared" ref="S7:S15" si="6">R7*((((N7*Q7)-(O7*P7))^2))</f>
        <v>12943242300</v>
      </c>
      <c r="T7" s="30">
        <f t="shared" ref="T7:T15" si="7">(N7+O7)*(P7+Q7)*(N7+P7)*(O7+Q7)</f>
        <v>28721128924</v>
      </c>
      <c r="U7" s="31">
        <f t="shared" ref="U7:U15" si="8">IF((S7&gt;0),S7/T7,"- -")</f>
        <v>0.45065228230580956</v>
      </c>
    </row>
    <row r="8" spans="2:21" ht="18" customHeight="1" x14ac:dyDescent="0.25">
      <c r="B8" s="32" t="str">
        <f>'Data Entry'!A8</f>
        <v>3. Refer to Juvenile Court</v>
      </c>
      <c r="C8" s="33">
        <f>'Data Entry'!C8</f>
        <v>61</v>
      </c>
      <c r="D8" s="34">
        <f>IF((AND(C67&gt;0,C8&gt;0)),(C8/C67),0)</f>
        <v>3050</v>
      </c>
      <c r="E8" s="33">
        <f>'Data Entry'!J8</f>
        <v>24</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24</v>
      </c>
      <c r="O8" s="42">
        <f>((D67*L67)-E8)+0.05</f>
        <v>-23.95</v>
      </c>
      <c r="P8" s="42">
        <f t="shared" si="4"/>
        <v>61</v>
      </c>
      <c r="Q8" s="42">
        <f>(C$67*L67)-C8</f>
        <v>-59</v>
      </c>
      <c r="R8" s="42">
        <f t="shared" si="5"/>
        <v>2.0499999999999972</v>
      </c>
      <c r="S8" s="30">
        <f t="shared" si="6"/>
        <v>4142.030125000003</v>
      </c>
      <c r="T8" s="30">
        <f t="shared" si="7"/>
        <v>-705.07500000001005</v>
      </c>
      <c r="U8" s="31">
        <f t="shared" si="8"/>
        <v>-5.8745950785376646</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24</v>
      </c>
      <c r="P9" s="42">
        <f t="shared" si="4"/>
        <v>0</v>
      </c>
      <c r="Q9" s="42">
        <f>(C$68*L68)-C9</f>
        <v>61</v>
      </c>
      <c r="R9" s="42">
        <f t="shared" si="5"/>
        <v>85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24</v>
      </c>
      <c r="P10" s="42">
        <f t="shared" si="4"/>
        <v>0</v>
      </c>
      <c r="Q10" s="42">
        <f>(C$68*L68)-C10</f>
        <v>61</v>
      </c>
      <c r="R10" s="42">
        <f t="shared" si="5"/>
        <v>85</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45.901639344262293</v>
      </c>
      <c r="E11" s="33">
        <f>'Data Entry'!J11</f>
        <v>11</v>
      </c>
      <c r="F11" s="34">
        <f>IF(((AND($E$11&gt;0,$D$68&gt;0))),($E$11/($D$68)),0)</f>
        <v>45.833333333333336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11</v>
      </c>
      <c r="O11" s="42">
        <f>(D$68*L68)-E11</f>
        <v>13</v>
      </c>
      <c r="P11" s="42">
        <f t="shared" si="4"/>
        <v>28</v>
      </c>
      <c r="Q11" s="42">
        <f>(C$68*L68)-C11</f>
        <v>33</v>
      </c>
      <c r="R11" s="42">
        <f t="shared" si="5"/>
        <v>85</v>
      </c>
      <c r="S11" s="30">
        <f t="shared" si="6"/>
        <v>85</v>
      </c>
      <c r="T11" s="30">
        <f t="shared" si="7"/>
        <v>2626416</v>
      </c>
      <c r="U11" s="31">
        <f t="shared" si="8"/>
        <v>3.2363494587300716E-5</v>
      </c>
    </row>
    <row r="12" spans="2:21" ht="18" customHeight="1" x14ac:dyDescent="0.25">
      <c r="B12" s="32" t="str">
        <f>'Data Entry'!A12</f>
        <v>7. Cases Resulting in Delinquent Findings</v>
      </c>
      <c r="C12" s="33">
        <f>'Data Entry'!C12</f>
        <v>27</v>
      </c>
      <c r="D12" s="34">
        <f>IF(((AND(C69&gt;0,C12&gt;0))),(C12/(C69)),0)</f>
        <v>96.428571428571416</v>
      </c>
      <c r="E12" s="33">
        <f>'Data Entry'!J12</f>
        <v>11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11</v>
      </c>
      <c r="O12" s="42">
        <f>(D69*L69)-E12</f>
        <v>0</v>
      </c>
      <c r="P12" s="42">
        <f t="shared" si="4"/>
        <v>27</v>
      </c>
      <c r="Q12" s="42">
        <f>(C69*L69)-C12</f>
        <v>1.0000000000000036</v>
      </c>
      <c r="R12" s="42">
        <f t="shared" si="5"/>
        <v>39</v>
      </c>
      <c r="S12" s="30">
        <f t="shared" si="6"/>
        <v>4719.0000000000337</v>
      </c>
      <c r="T12" s="30">
        <f t="shared" si="7"/>
        <v>11704.000000000044</v>
      </c>
      <c r="U12" s="31">
        <f t="shared" si="8"/>
        <v>0.40319548872180588</v>
      </c>
    </row>
    <row r="13" spans="2:21" ht="18" customHeight="1" x14ac:dyDescent="0.25">
      <c r="B13" s="32" t="str">
        <f>'Data Entry'!A13</f>
        <v>8. Cases Resulting in Probation Placement</v>
      </c>
      <c r="C13" s="33">
        <f>'Data Entry'!C13</f>
        <v>20</v>
      </c>
      <c r="D13" s="34">
        <f>IF(((AND(C70&gt;0,C13&gt;0))),(C13/(C70)),0)</f>
        <v>74.074074074074076</v>
      </c>
      <c r="E13" s="33">
        <f>'Data Entry'!J13</f>
        <v>8</v>
      </c>
      <c r="F13" s="34">
        <f>IF(((AND($D$70&gt;0,$E$13&gt;0))),($E$13/($D$70)),0)</f>
        <v>72.727272727272734</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8</v>
      </c>
      <c r="O13" s="42">
        <f>(D70*L70)-E13</f>
        <v>3</v>
      </c>
      <c r="P13" s="42">
        <f t="shared" si="4"/>
        <v>20</v>
      </c>
      <c r="Q13" s="42">
        <f>(C70*L70)-C13</f>
        <v>7</v>
      </c>
      <c r="R13" s="42">
        <f t="shared" si="5"/>
        <v>38</v>
      </c>
      <c r="S13" s="30">
        <f t="shared" si="6"/>
        <v>608</v>
      </c>
      <c r="T13" s="30">
        <f t="shared" si="7"/>
        <v>83160</v>
      </c>
      <c r="U13" s="31">
        <f t="shared" si="8"/>
        <v>7.3112073112073109E-3</v>
      </c>
    </row>
    <row r="14" spans="2:21" ht="30.75" customHeight="1" x14ac:dyDescent="0.25">
      <c r="B14" s="32" t="str">
        <f>'Data Entry'!A14</f>
        <v xml:space="preserve">9. Cases Resulting in Confinement in Secure Juvenile Correctional Facilities </v>
      </c>
      <c r="C14" s="33">
        <f>'Data Entry'!C14</f>
        <v>2</v>
      </c>
      <c r="D14" s="34">
        <f>IF(((AND(C70&gt;0,C14&gt;0))), ((C14/(C70))),0)</f>
        <v>7.4074074074074066</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11</v>
      </c>
      <c r="P14" s="42">
        <f t="shared" si="4"/>
        <v>2</v>
      </c>
      <c r="Q14" s="42">
        <f>(C70*L70)-C14</f>
        <v>25</v>
      </c>
      <c r="R14" s="42">
        <f t="shared" si="5"/>
        <v>38</v>
      </c>
      <c r="S14" s="30">
        <f t="shared" si="6"/>
        <v>18392</v>
      </c>
      <c r="T14" s="30">
        <f t="shared" si="7"/>
        <v>21384</v>
      </c>
      <c r="U14" s="31">
        <f t="shared" si="8"/>
        <v>0.86008230452674894</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11</v>
      </c>
      <c r="P15" s="42">
        <f t="shared" si="4"/>
        <v>0</v>
      </c>
      <c r="Q15" s="42">
        <f>(C69*L69)-C15</f>
        <v>28.000000000000004</v>
      </c>
      <c r="R15" s="42">
        <f t="shared" si="5"/>
        <v>39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3.734</v>
      </c>
      <c r="D42" s="56">
        <f>E6/1000</f>
        <v>0.84099999999999997</v>
      </c>
      <c r="E42" s="56">
        <f>MAX(C42:D42)</f>
        <v>3.734</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0.61</v>
      </c>
      <c r="D44" s="56">
        <f>E8/100</f>
        <v>0.24</v>
      </c>
      <c r="E44" s="56">
        <f>MAX(C44:D44,0)</f>
        <v>0.61</v>
      </c>
      <c r="G44" s="1" t="str">
        <f>B44</f>
        <v>per 100 referrals</v>
      </c>
      <c r="L44" s="57">
        <v>100</v>
      </c>
      <c r="M44" s="57"/>
      <c r="R44" s="49"/>
    </row>
    <row r="45" spans="2:18" ht="15" hidden="1" customHeight="1" x14ac:dyDescent="0.25">
      <c r="B45" s="49" t="s">
        <v>89</v>
      </c>
      <c r="C45" s="49">
        <f>C11/100</f>
        <v>0.28000000000000003</v>
      </c>
      <c r="D45" s="49">
        <f>E11/100</f>
        <v>0.11</v>
      </c>
      <c r="E45" s="56">
        <f>MAX(C45:D45,0)</f>
        <v>0.28000000000000003</v>
      </c>
      <c r="G45" s="1" t="str">
        <f>B45</f>
        <v>per 100 youth petitioned</v>
      </c>
      <c r="L45" s="57">
        <v>100</v>
      </c>
      <c r="M45" s="57"/>
      <c r="R45" s="49"/>
    </row>
    <row r="46" spans="2:18" ht="15" hidden="1" customHeight="1" x14ac:dyDescent="0.25">
      <c r="B46" s="49" t="s">
        <v>90</v>
      </c>
      <c r="C46" s="49">
        <f>C12/100</f>
        <v>0.27</v>
      </c>
      <c r="D46" s="49">
        <f>E12/100</f>
        <v>0.11</v>
      </c>
      <c r="E46" s="56">
        <f>MAX(C46:D46)</f>
        <v>0.27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3.734</v>
      </c>
      <c r="D48" s="56">
        <f>D42</f>
        <v>0.84099999999999997</v>
      </c>
      <c r="E48" s="56">
        <f>MAX(C48:D48)</f>
        <v>3.734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0.61</v>
      </c>
      <c r="D50" s="49">
        <f t="shared" si="9"/>
        <v>0.24</v>
      </c>
      <c r="E50" s="49">
        <f>MAX(C50:D50)</f>
        <v>0.61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0.11</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0.27</v>
      </c>
      <c r="D52" s="49">
        <f>IF(($E46&gt;0),D46,D45)</f>
        <v>0.11</v>
      </c>
      <c r="E52" s="56">
        <f>MAX(C52:D52)</f>
        <v>0.27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3.734</v>
      </c>
      <c r="D54" s="56">
        <f>D48</f>
        <v>0.84099999999999997</v>
      </c>
      <c r="E54" s="56">
        <f>MAX(C54:D54)</f>
        <v>3.734</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referrals</v>
      </c>
      <c r="C56" s="49">
        <f t="shared" si="10"/>
        <v>0.61</v>
      </c>
      <c r="D56" s="49">
        <f t="shared" si="10"/>
        <v>0.24</v>
      </c>
      <c r="E56" s="49">
        <f>MAX(C56:D56)</f>
        <v>0.61</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0.11</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0.27</v>
      </c>
      <c r="D58" s="49">
        <f>IF(($E52&gt;0),D52,D51)</f>
        <v>0.11</v>
      </c>
      <c r="E58" s="56">
        <f>MAX(C58:D58)</f>
        <v>0.27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3.734</v>
      </c>
      <c r="D60" s="56">
        <f>D54</f>
        <v>0.84099999999999997</v>
      </c>
      <c r="E60" s="56">
        <f>MAX(C60:D60)</f>
        <v>3.734</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referrals</v>
      </c>
      <c r="C62" s="49">
        <f t="shared" si="11"/>
        <v>0.61</v>
      </c>
      <c r="D62" s="49">
        <f t="shared" si="11"/>
        <v>0.24</v>
      </c>
      <c r="E62" s="49">
        <f>MAX(C62:D62)</f>
        <v>0.61</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0.11</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0.27</v>
      </c>
      <c r="D64" s="49">
        <f>IF(($E58&gt;0),D58,D57)</f>
        <v>0.11</v>
      </c>
      <c r="E64" s="56">
        <f>MAX(C64:D64)</f>
        <v>0.27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3.734</v>
      </c>
      <c r="D66" s="56">
        <f>D60</f>
        <v>0.84099999999999997</v>
      </c>
      <c r="E66" s="56">
        <f>MAX(C66:D66)</f>
        <v>3.734</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referrals</v>
      </c>
      <c r="C68" s="49">
        <f t="shared" si="12"/>
        <v>0.61</v>
      </c>
      <c r="D68" s="49">
        <f t="shared" si="12"/>
        <v>0.24</v>
      </c>
      <c r="E68" s="49">
        <f>MAX(C68:D68)</f>
        <v>0.61</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0.11</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0.27</v>
      </c>
      <c r="D70" s="49">
        <f>IF(($E64&gt;0),D64,D63)</f>
        <v>0.11</v>
      </c>
      <c r="E70" s="56">
        <f>MAX(C70:D70)</f>
        <v>0.27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Cass</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40</v>
      </c>
      <c r="Q8" s="1">
        <f>'Other - Mixed'!L8</f>
        <v>139</v>
      </c>
      <c r="R8" s="1">
        <f>'All Minorities'!L8</f>
        <v>20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f>'Am Indian'!L11</f>
        <v>40</v>
      </c>
      <c r="Q11" s="1" t="e">
        <f>'Other - Mixed'!L11</f>
        <v>#VALUE!</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t="e">
        <f>'Other - Mixed'!L13</f>
        <v>#VALUE!</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t="e">
        <f>'Other - Mixed'!L14</f>
        <v>#VALUE!</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4575</v>
      </c>
      <c r="D3" s="57">
        <f>'Data Entry'!C6</f>
        <v>3734</v>
      </c>
      <c r="E3" s="57">
        <f>'Data Entry'!D6</f>
        <v>384</v>
      </c>
      <c r="F3" s="57">
        <f>'Data Entry'!E6</f>
        <v>346</v>
      </c>
      <c r="G3" s="57">
        <f>'Data Entry'!F6</f>
        <v>36</v>
      </c>
      <c r="H3" s="57">
        <f>'Data Entry'!G6</f>
        <v>0</v>
      </c>
      <c r="I3" s="57">
        <f>'Data Entry'!H6</f>
        <v>75</v>
      </c>
      <c r="J3" s="57">
        <f>'Data Entry'!I6</f>
        <v>0</v>
      </c>
      <c r="K3" s="57">
        <f>'Data Entry'!J6</f>
        <v>841</v>
      </c>
    </row>
    <row r="4" spans="2:11" ht="15" customHeight="1" x14ac:dyDescent="0.25">
      <c r="B4" s="16" t="s">
        <v>8</v>
      </c>
      <c r="C4" s="1">
        <f>IF((C$3&gt;0),(1000*('Data Entry'!B7/'Data Entry'!B$6)), 0)</f>
        <v>0.43715846994535518</v>
      </c>
      <c r="D4" s="1">
        <f>IF((D$3&gt;0),(1000*('Data Entry'!C7/'Data Entry'!C$6)), 0)</f>
        <v>0.53561863952865563</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19.016393442622952</v>
      </c>
      <c r="D5" s="1">
        <f>IF((D$3&gt;0),(1000*('Data Entry'!C8/'Data Entry'!C$6)), 0)</f>
        <v>16.336368505623994</v>
      </c>
      <c r="E5" s="1">
        <f>IF((E$3&gt;0),(1000*('Data Entry'!D8/'Data Entry'!D$6)), 0)</f>
        <v>59.895833333333336</v>
      </c>
      <c r="F5" s="1">
        <f>IF((F$3&gt;0),(1000*('Data Entry'!E8/'Data Entry'!E$6)), 0)</f>
        <v>0</v>
      </c>
      <c r="G5" s="1">
        <f>IF((G$3&gt;0),(1000*('Data Entry'!F8/'Data Entry'!F$6)), 0)</f>
        <v>0</v>
      </c>
      <c r="H5" s="1">
        <f>IF((H$3&gt;0),(1000*('Data Entry'!G8/'Data Entry'!G$6)), 0)</f>
        <v>0</v>
      </c>
      <c r="I5" s="1">
        <f>IF((I$3&gt;0),(1000*('Data Entry'!H8/'Data Entry'!H$6)), 0)</f>
        <v>13.333333333333334</v>
      </c>
      <c r="J5" s="1">
        <f>IF((J$3&gt;0),(1000*('Data Entry'!I8/'Data Entry'!I$6)), 0)</f>
        <v>0</v>
      </c>
      <c r="K5" s="1">
        <f>IF((K$3&gt;0),(1000*('Data Entry'!J8/'Data Entry'!J$6)), 0)</f>
        <v>28.537455410225924</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8.5245901639344268</v>
      </c>
      <c r="D8" s="1">
        <f>IF((D$3&gt;0),(1000*('Data Entry'!C11/'Data Entry'!C$6)), 0)</f>
        <v>7.4986609534011786</v>
      </c>
      <c r="E8" s="1">
        <f>IF((E$3&gt;0),(1000*('Data Entry'!D11/'Data Entry'!D$6)), 0)</f>
        <v>28.645833333333332</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13.079667063020214</v>
      </c>
    </row>
    <row r="9" spans="2:11" ht="15" customHeight="1" x14ac:dyDescent="0.25">
      <c r="B9" s="16" t="s">
        <v>13</v>
      </c>
      <c r="C9" s="1">
        <f>IF((C$3&gt;0),(1000*('Data Entry'!B12/'Data Entry'!B$6)), 0)</f>
        <v>8.306010928961749</v>
      </c>
      <c r="D9" s="1">
        <f>IF((D$3&gt;0),(1000*('Data Entry'!C12/'Data Entry'!C$6)), 0)</f>
        <v>7.23085163363685</v>
      </c>
      <c r="E9" s="1">
        <f>IF((E$3&gt;0),(1000*('Data Entry'!D12/'Data Entry'!D$6)), 0)</f>
        <v>28.645833333333332</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13.079667063020214</v>
      </c>
    </row>
    <row r="10" spans="2:11" ht="15" customHeight="1" x14ac:dyDescent="0.25">
      <c r="B10" s="16" t="s">
        <v>14</v>
      </c>
      <c r="C10" s="1">
        <f>IF((C$3&gt;0),(1000*('Data Entry'!B13/'Data Entry'!B$6)), 0)</f>
        <v>6.1202185792349724</v>
      </c>
      <c r="D10" s="1">
        <f>IF((D$3&gt;0),(1000*('Data Entry'!C13/'Data Entry'!C$6)), 0)</f>
        <v>5.3561863952865556</v>
      </c>
      <c r="E10" s="1">
        <f>IF((E$3&gt;0),(1000*('Data Entry'!D13/'Data Entry'!D$6)), 0)</f>
        <v>20.833333333333332</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9.5124851367419723</v>
      </c>
    </row>
    <row r="11" spans="2:11" ht="25.5" customHeight="1" x14ac:dyDescent="0.25">
      <c r="B11" s="16" t="s">
        <v>15</v>
      </c>
      <c r="C11" s="1">
        <f>IF((C$3&gt;0),(1000*('Data Entry'!B14/'Data Entry'!B$6)), 0)</f>
        <v>0.43715846994535518</v>
      </c>
      <c r="D11" s="1">
        <f>IF((D$3&gt;0),(1000*('Data Entry'!C14/'Data Entry'!C$6)), 0)</f>
        <v>0.53561863952865563</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Cass</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f t="shared" si="2"/>
        <v>3.6664105191256833</v>
      </c>
      <c r="E20" s="72" t="str">
        <f t="shared" si="2"/>
        <v>--</v>
      </c>
      <c r="F20" s="72" t="str">
        <f t="shared" si="2"/>
        <v>--</v>
      </c>
      <c r="G20" s="72" t="str">
        <f t="shared" si="2"/>
        <v>--</v>
      </c>
      <c r="H20" s="72">
        <f t="shared" si="2"/>
        <v>0.81617486338797829</v>
      </c>
      <c r="I20" s="72" t="str">
        <f t="shared" si="2"/>
        <v>--</v>
      </c>
      <c r="J20" s="73">
        <f t="shared" si="2"/>
        <v>1.7468665328161248</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f t="shared" si="2"/>
        <v>3.8201264880952377</v>
      </c>
      <c r="E23" s="72" t="str">
        <f t="shared" si="2"/>
        <v>--</v>
      </c>
      <c r="F23" s="72" t="str">
        <f t="shared" si="2"/>
        <v>--</v>
      </c>
      <c r="G23" s="72" t="str">
        <f t="shared" si="2"/>
        <v>--</v>
      </c>
      <c r="H23" s="72" t="str">
        <f t="shared" si="2"/>
        <v>--</v>
      </c>
      <c r="I23" s="72" t="str">
        <f t="shared" si="2"/>
        <v>--</v>
      </c>
      <c r="J23" s="73">
        <f t="shared" si="2"/>
        <v>1.7442670290470528</v>
      </c>
    </row>
    <row r="24" spans="2:10" ht="15" customHeight="1" x14ac:dyDescent="0.25">
      <c r="B24" s="71" t="s">
        <v>13</v>
      </c>
      <c r="C24" s="72">
        <f t="shared" si="2"/>
        <v>1</v>
      </c>
      <c r="D24" s="72">
        <f t="shared" si="2"/>
        <v>3.9616126543209877</v>
      </c>
      <c r="E24" s="72" t="str">
        <f t="shared" si="2"/>
        <v>--</v>
      </c>
      <c r="F24" s="72" t="str">
        <f t="shared" si="2"/>
        <v>--</v>
      </c>
      <c r="G24" s="72" t="str">
        <f t="shared" si="2"/>
        <v>--</v>
      </c>
      <c r="H24" s="72" t="str">
        <f t="shared" si="2"/>
        <v>--</v>
      </c>
      <c r="I24" s="72" t="str">
        <f t="shared" si="2"/>
        <v>--</v>
      </c>
      <c r="J24" s="73">
        <f t="shared" si="2"/>
        <v>1.8088695116043512</v>
      </c>
    </row>
    <row r="25" spans="2:10" ht="15" customHeight="1" x14ac:dyDescent="0.25">
      <c r="B25" s="71" t="s">
        <v>14</v>
      </c>
      <c r="C25" s="72">
        <f t="shared" si="2"/>
        <v>1</v>
      </c>
      <c r="D25" s="72">
        <f t="shared" si="2"/>
        <v>3.8895833333333334</v>
      </c>
      <c r="E25" s="72" t="str">
        <f t="shared" si="2"/>
        <v>--</v>
      </c>
      <c r="F25" s="72" t="str">
        <f t="shared" si="2"/>
        <v>--</v>
      </c>
      <c r="G25" s="72" t="str">
        <f t="shared" si="2"/>
        <v>--</v>
      </c>
      <c r="H25" s="72" t="str">
        <f t="shared" si="2"/>
        <v>--</v>
      </c>
      <c r="I25" s="72" t="str">
        <f t="shared" si="2"/>
        <v>--</v>
      </c>
      <c r="J25" s="73">
        <f t="shared" si="2"/>
        <v>1.7759809750297264</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Cass</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3734</v>
      </c>
      <c r="D7" s="105">
        <f>'Data Entry'!D6</f>
        <v>384</v>
      </c>
      <c r="E7" s="106"/>
      <c r="F7" s="107">
        <f>'Data Entry'!E6</f>
        <v>346</v>
      </c>
      <c r="G7" s="106"/>
      <c r="H7" s="107">
        <f>'Data Entry'!F6</f>
        <v>36</v>
      </c>
      <c r="I7" s="106"/>
      <c r="J7" s="107">
        <f>'Data Entry'!G6</f>
        <v>0</v>
      </c>
      <c r="K7" s="106"/>
      <c r="L7" s="107">
        <f>'Data Entry'!H6</f>
        <v>75</v>
      </c>
      <c r="M7" s="106"/>
      <c r="N7" s="107">
        <f>'Data Entry'!I6</f>
        <v>0</v>
      </c>
      <c r="O7" s="106"/>
      <c r="P7" s="107">
        <f>'Data Entry'!J6</f>
        <v>841</v>
      </c>
      <c r="Q7" s="108"/>
    </row>
    <row r="8" spans="2:26" s="1" customFormat="1" ht="15" customHeight="1" x14ac:dyDescent="0.3">
      <c r="B8" s="149" t="s">
        <v>8</v>
      </c>
      <c r="C8" s="104">
        <f>'Data Entry'!C7</f>
        <v>2</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x14ac:dyDescent="0.3">
      <c r="B9" s="149" t="s">
        <v>134</v>
      </c>
      <c r="C9" s="104">
        <f>'Data Entry'!C8</f>
        <v>61</v>
      </c>
      <c r="D9" s="109">
        <f>'Data Entry'!D8</f>
        <v>23</v>
      </c>
      <c r="E9" s="110" t="str">
        <f>'Black or African-American'!$G8</f>
        <v>**</v>
      </c>
      <c r="F9" s="111">
        <f>'Data Entry'!E8</f>
        <v>0</v>
      </c>
      <c r="G9" s="110" t="str">
        <f>Hispanic!G8</f>
        <v>**</v>
      </c>
      <c r="H9" s="111">
        <f>'Data Entry'!F8</f>
        <v>0</v>
      </c>
      <c r="I9" s="110" t="str">
        <f>Asian!G8</f>
        <v>*</v>
      </c>
      <c r="J9" s="111">
        <f>'Data Entry'!G8</f>
        <v>0</v>
      </c>
      <c r="K9" s="110" t="str">
        <f>Hawaiian!G8</f>
        <v>*</v>
      </c>
      <c r="L9" s="111">
        <f>'Data Entry'!H8</f>
        <v>1</v>
      </c>
      <c r="M9" s="110" t="str">
        <f>'Am Indian'!G8</f>
        <v>**</v>
      </c>
      <c r="N9" s="111">
        <f>'Data Entry'!I8</f>
        <v>0</v>
      </c>
      <c r="O9" s="110" t="str">
        <f>'Other - Mixed'!G8</f>
        <v>*</v>
      </c>
      <c r="P9" s="111">
        <f>'Data Entry'!J8</f>
        <v>24</v>
      </c>
      <c r="Q9" s="112" t="str">
        <f>'All Minorities'!G8</f>
        <v>**</v>
      </c>
      <c r="R9"/>
      <c r="T9" s="1">
        <f>'Black or African-American'!L8</f>
        <v>20</v>
      </c>
      <c r="U9" s="1">
        <f>Hispanic!L8</f>
        <v>40</v>
      </c>
      <c r="V9" s="1">
        <f>Asian!L8</f>
        <v>139</v>
      </c>
      <c r="W9" s="1">
        <f>Hawaiian!L8</f>
        <v>139</v>
      </c>
      <c r="X9" s="1">
        <f>'Am Indian'!L8</f>
        <v>40</v>
      </c>
      <c r="Y9" s="1">
        <f>'Other - Mixed'!L8</f>
        <v>139</v>
      </c>
      <c r="Z9" s="1">
        <f>'All Minorities'!L8</f>
        <v>20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28</v>
      </c>
      <c r="D12" s="113">
        <f>'Data Entry'!D11</f>
        <v>11</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11</v>
      </c>
      <c r="Q12" s="116" t="str">
        <f>'All Minorities'!G11</f>
        <v>**</v>
      </c>
      <c r="R12"/>
      <c r="T12" s="1">
        <f>'Black or African-American'!L11</f>
        <v>40</v>
      </c>
      <c r="U12" s="1" t="e">
        <f>Hispanic!L11</f>
        <v>#VALUE!</v>
      </c>
      <c r="V12" s="1" t="e">
        <f>Asian!L11</f>
        <v>#VALUE!</v>
      </c>
      <c r="W12" s="1" t="e">
        <f>Hawaiian!L11</f>
        <v>#VALUE!</v>
      </c>
      <c r="X12" s="1">
        <f>'Am Indian'!L11</f>
        <v>40</v>
      </c>
      <c r="Y12" s="1" t="e">
        <f>'Other - Mixed'!L11</f>
        <v>#VALUE!</v>
      </c>
      <c r="Z12" s="1">
        <f>'All Minorities'!L11</f>
        <v>40</v>
      </c>
    </row>
    <row r="13" spans="2:26" s="1" customFormat="1" ht="15" customHeight="1" x14ac:dyDescent="0.3">
      <c r="B13" s="149" t="s">
        <v>13</v>
      </c>
      <c r="C13" s="104">
        <f>'Data Entry'!C12</f>
        <v>27</v>
      </c>
      <c r="D13" s="109">
        <f>'Data Entry'!D12</f>
        <v>11</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11</v>
      </c>
      <c r="Q13" s="112"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x14ac:dyDescent="0.3">
      <c r="B14" s="149" t="s">
        <v>133</v>
      </c>
      <c r="C14" s="104">
        <f>'Data Entry'!C13</f>
        <v>20</v>
      </c>
      <c r="D14" s="113">
        <f>'Data Entry'!D13</f>
        <v>8</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8</v>
      </c>
      <c r="Q14" s="116" t="str">
        <f>'All Minorities'!G13</f>
        <v>**</v>
      </c>
      <c r="R14"/>
      <c r="T14" s="1">
        <f>'Black or African-American'!L13</f>
        <v>40</v>
      </c>
      <c r="U14" s="1" t="e">
        <f>Hispanic!L13</f>
        <v>#VALUE!</v>
      </c>
      <c r="V14" s="1" t="e">
        <f>Asian!L13</f>
        <v>#VALUE!</v>
      </c>
      <c r="W14" s="1" t="e">
        <f>Hawaiian!L13</f>
        <v>#VALUE!</v>
      </c>
      <c r="X14" s="1" t="e">
        <f>'Am Indian'!L13</f>
        <v>#VALUE!</v>
      </c>
      <c r="Y14" s="1" t="e">
        <f>'Other - Mixed'!L13</f>
        <v>#VALUE!</v>
      </c>
      <c r="Z14" s="1">
        <f>'All Minorities'!L13</f>
        <v>40</v>
      </c>
    </row>
    <row r="15" spans="2:26" s="1" customFormat="1" ht="33" x14ac:dyDescent="0.3">
      <c r="B15" s="151" t="s">
        <v>123</v>
      </c>
      <c r="C15" s="104">
        <f>'Data Entry'!C14</f>
        <v>2</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f>'Black or African-American'!L14</f>
        <v>40</v>
      </c>
      <c r="U15" s="1" t="e">
        <f>Hispanic!L14</f>
        <v>#VALUE!</v>
      </c>
      <c r="V15" s="1" t="e">
        <f>Asian!L14</f>
        <v>#VALUE!</v>
      </c>
      <c r="W15" s="1" t="e">
        <f>Hawaiian!L14</f>
        <v>#VALUE!</v>
      </c>
      <c r="X15" s="1" t="e">
        <f>'Am Indian'!L14</f>
        <v>#VALUE!</v>
      </c>
      <c r="Y15" s="1" t="e">
        <f>'Other - Mixed'!L14</f>
        <v>#VALUE!</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Cass</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Cass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4.4399524375743162</v>
      </c>
    </row>
    <row r="8" spans="1:12" ht="25.5" customHeight="1" x14ac:dyDescent="0.2">
      <c r="A8" s="158" t="str">
        <f>CONCATENATE("Confinement, total N=", 'Data Entry'!B14)</f>
        <v>Confinement, total N=2</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1</v>
      </c>
      <c r="K8" s="97" t="str">
        <f>A8</f>
        <v>Confinement, total N=2</v>
      </c>
      <c r="L8">
        <f>I14/(SUM(B14:G14))</f>
        <v>4.4399524375743162</v>
      </c>
    </row>
    <row r="9" spans="1:12" x14ac:dyDescent="0.2">
      <c r="A9" s="132" t="str">
        <f>CONCATENATE("Delinquent Findings, total N=", 'Data Entry'!B12)</f>
        <v>Delinquent Findings, total N=38</v>
      </c>
      <c r="B9" s="157">
        <f>'Data Entry'!D12/'Data Entry'!B12</f>
        <v>0.28947368421052633</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0.71052631578947367</v>
      </c>
      <c r="K9" s="97" t="str">
        <f t="shared" si="0"/>
        <v>Delinquent Findings, total N=38</v>
      </c>
      <c r="L9">
        <f>I14/(SUM(B14:G14))</f>
        <v>4.4399524375743162</v>
      </c>
    </row>
    <row r="10" spans="1:12" x14ac:dyDescent="0.2">
      <c r="A10" s="132" t="str">
        <f>CONCATENATE("Petitions, total N=", 'Data Entry'!B11)</f>
        <v>Petitions, total N=39</v>
      </c>
      <c r="B10" s="157">
        <f>'Data Entry'!D11/'Data Entry'!B11</f>
        <v>0.28205128205128205</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0.71794871794871795</v>
      </c>
      <c r="K10" s="97" t="str">
        <f t="shared" si="0"/>
        <v>Petitions, total N=39</v>
      </c>
      <c r="L10">
        <f>I14/(SUM(B14:G14))</f>
        <v>4.4399524375743162</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4.4399524375743162</v>
      </c>
    </row>
    <row r="12" spans="1:12" x14ac:dyDescent="0.2">
      <c r="A12" s="132" t="str">
        <f>CONCATENATE("Referrals, total N=", 'Data Entry'!B8)</f>
        <v>Referrals, total N=87</v>
      </c>
      <c r="B12" s="157">
        <f>'Data Entry'!D8/'Data Entry'!B8</f>
        <v>0.26436781609195403</v>
      </c>
      <c r="C12" s="157">
        <f>'Data Entry'!E8/'Data Entry'!B8</f>
        <v>0</v>
      </c>
      <c r="D12" s="157">
        <f>'Data Entry'!F8/'Data Entry'!B8</f>
        <v>0</v>
      </c>
      <c r="E12" s="157">
        <f>'Data Entry'!G8/'Data Entry'!B8</f>
        <v>0</v>
      </c>
      <c r="F12" s="157">
        <f>'Data Entry'!H8/'Data Entry'!B8</f>
        <v>1.1494252873563218E-2</v>
      </c>
      <c r="G12" s="157">
        <f>'Data Entry'!I8/'Data Entry'!B8</f>
        <v>0</v>
      </c>
      <c r="H12" s="157">
        <f>SUM(D12:G12)/'Data Entry'!B8</f>
        <v>1.3211784912141631E-4</v>
      </c>
      <c r="I12" s="157">
        <f>'Data Entry'!C8/'Data Entry'!B8</f>
        <v>0.70114942528735635</v>
      </c>
      <c r="K12" s="97" t="str">
        <f t="shared" si="0"/>
        <v>Referrals, total N=87</v>
      </c>
      <c r="L12">
        <f>I14/(SUM(B14:G14))</f>
        <v>4.4399524375743162</v>
      </c>
    </row>
    <row r="13" spans="1:12" x14ac:dyDescent="0.2">
      <c r="A13" s="132" t="str">
        <f>CONCATENATE("Arrests, total N=", 'Data Entry'!B7)</f>
        <v>Arrests, total N=2</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N=2</v>
      </c>
      <c r="L13">
        <f>I14/(SUM(B14:G14))</f>
        <v>4.4399524375743162</v>
      </c>
    </row>
    <row r="14" spans="1:12" x14ac:dyDescent="0.2">
      <c r="A14" s="132" t="str">
        <f>CONCATENATE("Population, total N=", 'Data Entry'!B6)</f>
        <v>Population, total N=4575</v>
      </c>
      <c r="B14" s="157">
        <f>'Data Entry'!D6/'Data Entry'!B6</f>
        <v>8.3934426229508197E-2</v>
      </c>
      <c r="C14" s="157">
        <f>'Data Entry'!E6/'Data Entry'!B6</f>
        <v>7.5628415300546453E-2</v>
      </c>
      <c r="D14" s="157">
        <f>'Data Entry'!F6/'Data Entry'!B6</f>
        <v>7.8688524590163934E-3</v>
      </c>
      <c r="E14" s="157">
        <f>'Data Entry'!G6/'Data Entry'!B6</f>
        <v>0</v>
      </c>
      <c r="F14" s="157">
        <f>'Data Entry'!H6/'Data Entry'!B6</f>
        <v>1.6393442622950821E-2</v>
      </c>
      <c r="G14" s="157">
        <f>'Data Entry'!I6/'Data Entry'!B6</f>
        <v>0</v>
      </c>
      <c r="H14" s="157">
        <f>SUM(D14:G14)/'Data Entry'!B6</f>
        <v>5.3032338976977518E-6</v>
      </c>
      <c r="I14" s="157">
        <f>'Data Entry'!C6/'Data Entry'!B6</f>
        <v>0.81617486338797818</v>
      </c>
      <c r="K14" s="97" t="str">
        <f t="shared" si="0"/>
        <v>Population, total N=4575</v>
      </c>
      <c r="L14">
        <f>I14/(SUM(B14:G14))</f>
        <v>4.4399524375743162</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Cass</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3734</v>
      </c>
      <c r="D7" s="105">
        <f>'Data Entry'!D6</f>
        <v>384</v>
      </c>
      <c r="E7" s="106"/>
      <c r="F7" s="107">
        <f>'Data Entry'!E6</f>
        <v>346</v>
      </c>
      <c r="G7" s="106"/>
      <c r="H7" s="107">
        <f>'Data Entry'!F6</f>
        <v>36</v>
      </c>
      <c r="I7" s="106"/>
      <c r="J7" s="107">
        <f>'Data Entry'!J6</f>
        <v>841</v>
      </c>
      <c r="K7" s="108"/>
    </row>
    <row r="8" spans="2:30" s="1" customFormat="1" ht="15" customHeight="1" x14ac:dyDescent="0.3">
      <c r="B8" s="125" t="s">
        <v>8</v>
      </c>
      <c r="C8" s="104">
        <f>'Data Entry'!C7</f>
        <v>2</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x14ac:dyDescent="0.3">
      <c r="B9" s="125" t="s">
        <v>134</v>
      </c>
      <c r="C9" s="104">
        <f>'Data Entry'!C8</f>
        <v>61</v>
      </c>
      <c r="D9" s="109">
        <f>'Data Entry'!D8</f>
        <v>23</v>
      </c>
      <c r="E9" s="110" t="str">
        <f>'Black or African-American'!$G8</f>
        <v>**</v>
      </c>
      <c r="F9" s="111">
        <f>'Data Entry'!E8</f>
        <v>0</v>
      </c>
      <c r="G9" s="110" t="str">
        <f>Hispanic!G8</f>
        <v>**</v>
      </c>
      <c r="H9" s="111">
        <f>'Data Entry'!F8</f>
        <v>0</v>
      </c>
      <c r="I9" s="110" t="str">
        <f>Asian!G8</f>
        <v>*</v>
      </c>
      <c r="J9" s="111">
        <f>'Data Entry'!J8</f>
        <v>24</v>
      </c>
      <c r="K9" s="112" t="str">
        <f>'All Minorities'!G8</f>
        <v>**</v>
      </c>
      <c r="L9"/>
      <c r="N9" s="1">
        <f>'Black or African-American'!L8</f>
        <v>20</v>
      </c>
      <c r="O9" s="1">
        <f>Hispanic!L8</f>
        <v>40</v>
      </c>
      <c r="P9" s="1">
        <f>Asian!L8</f>
        <v>139</v>
      </c>
      <c r="Q9" s="1">
        <f>Hawaiian!L8</f>
        <v>139</v>
      </c>
      <c r="R9" s="1">
        <f>'Am Indian'!L8</f>
        <v>40</v>
      </c>
      <c r="S9" s="1">
        <f>'Other - Mixed'!L8</f>
        <v>139</v>
      </c>
      <c r="T9" s="1">
        <f>'All Minorities'!L8</f>
        <v>20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28</v>
      </c>
      <c r="D12" s="113">
        <f>'Data Entry'!D11</f>
        <v>11</v>
      </c>
      <c r="E12" s="114" t="str">
        <f>'Black or African-American'!$G11</f>
        <v>**</v>
      </c>
      <c r="F12" s="115">
        <f>'Data Entry'!E11</f>
        <v>0</v>
      </c>
      <c r="G12" s="114" t="str">
        <f>Hispanic!G11</f>
        <v>--</v>
      </c>
      <c r="H12" s="115">
        <f>'Data Entry'!F11</f>
        <v>0</v>
      </c>
      <c r="I12" s="114" t="str">
        <f>Asian!G11</f>
        <v>*</v>
      </c>
      <c r="J12" s="115">
        <f>'Data Entry'!J11</f>
        <v>11</v>
      </c>
      <c r="K12" s="116" t="str">
        <f>'All Minorities'!G11</f>
        <v>**</v>
      </c>
      <c r="L12"/>
      <c r="N12" s="1">
        <f>'Black or African-American'!L11</f>
        <v>40</v>
      </c>
      <c r="O12" s="1" t="e">
        <f>Hispanic!L11</f>
        <v>#VALUE!</v>
      </c>
      <c r="P12" s="1" t="e">
        <f>Asian!L11</f>
        <v>#VALUE!</v>
      </c>
      <c r="Q12" s="1" t="e">
        <f>Hawaiian!L11</f>
        <v>#VALUE!</v>
      </c>
      <c r="R12" s="1">
        <f>'Am Indian'!L11</f>
        <v>40</v>
      </c>
      <c r="S12" s="1" t="e">
        <f>'Other - Mixed'!L11</f>
        <v>#VALUE!</v>
      </c>
      <c r="T12" s="1">
        <f>'All Minorities'!L11</f>
        <v>40</v>
      </c>
    </row>
    <row r="13" spans="2:30" s="1" customFormat="1" ht="15" customHeight="1" x14ac:dyDescent="0.3">
      <c r="B13" s="125" t="s">
        <v>13</v>
      </c>
      <c r="C13" s="104">
        <f>'Data Entry'!C12</f>
        <v>27</v>
      </c>
      <c r="D13" s="109">
        <f>'Data Entry'!D12</f>
        <v>11</v>
      </c>
      <c r="E13" s="110" t="str">
        <f>'Black or African-American'!$G12</f>
        <v>**</v>
      </c>
      <c r="F13" s="111">
        <f>'Data Entry'!E12</f>
        <v>0</v>
      </c>
      <c r="G13" s="110" t="str">
        <f>Hispanic!G12</f>
        <v>--</v>
      </c>
      <c r="H13" s="111">
        <f>'Data Entry'!F12</f>
        <v>0</v>
      </c>
      <c r="I13" s="110" t="str">
        <f>Asian!G12</f>
        <v>*</v>
      </c>
      <c r="J13" s="111">
        <f>'Data Entry'!J12</f>
        <v>11</v>
      </c>
      <c r="K13" s="112"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135"/>
      <c r="X13" s="135"/>
      <c r="Y13" s="135"/>
      <c r="Z13" s="135"/>
      <c r="AA13" s="135"/>
      <c r="AB13" s="135"/>
      <c r="AC13" s="135"/>
      <c r="AD13" s="135"/>
    </row>
    <row r="14" spans="2:30" s="1" customFormat="1" ht="15" customHeight="1" x14ac:dyDescent="0.3">
      <c r="B14" s="125" t="s">
        <v>14</v>
      </c>
      <c r="C14" s="104">
        <f>'Data Entry'!C13</f>
        <v>20</v>
      </c>
      <c r="D14" s="113">
        <f>'Data Entry'!D13</f>
        <v>8</v>
      </c>
      <c r="E14" s="114" t="str">
        <f>'Black or African-American'!$G13</f>
        <v>**</v>
      </c>
      <c r="F14" s="115">
        <f>'Data Entry'!E13</f>
        <v>0</v>
      </c>
      <c r="G14" s="114" t="str">
        <f>Hispanic!G13</f>
        <v>--</v>
      </c>
      <c r="H14" s="115">
        <f>'Data Entry'!F13</f>
        <v>0</v>
      </c>
      <c r="I14" s="114" t="str">
        <f>Asian!G13</f>
        <v>*</v>
      </c>
      <c r="J14" s="115">
        <f>'Data Entry'!J13</f>
        <v>8</v>
      </c>
      <c r="K14" s="116" t="str">
        <f>'All Minorities'!G13</f>
        <v>**</v>
      </c>
      <c r="L14"/>
      <c r="N14" s="1">
        <f>'Black or African-American'!L13</f>
        <v>40</v>
      </c>
      <c r="O14" s="1" t="e">
        <f>Hispanic!L13</f>
        <v>#VALUE!</v>
      </c>
      <c r="P14" s="1" t="e">
        <f>Asian!L13</f>
        <v>#VALUE!</v>
      </c>
      <c r="Q14" s="1" t="e">
        <f>Hawaiian!L13</f>
        <v>#VALUE!</v>
      </c>
      <c r="R14" s="1" t="e">
        <f>'Am Indian'!L13</f>
        <v>#VALUE!</v>
      </c>
      <c r="S14" s="1" t="e">
        <f>'Other - Mixed'!L13</f>
        <v>#VALUE!</v>
      </c>
      <c r="T14" s="1">
        <f>'All Minorities'!L13</f>
        <v>40</v>
      </c>
      <c r="W14" s="135"/>
      <c r="X14" s="135"/>
      <c r="Y14" s="135"/>
      <c r="Z14" s="135"/>
      <c r="AA14" s="135"/>
      <c r="AB14" s="135"/>
      <c r="AC14" s="135"/>
      <c r="AD14" s="135"/>
    </row>
    <row r="15" spans="2:30" s="1" customFormat="1" ht="33" x14ac:dyDescent="0.3">
      <c r="B15" s="130" t="s">
        <v>123</v>
      </c>
      <c r="C15" s="104">
        <f>'Data Entry'!C14</f>
        <v>2</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f>'Black or African-American'!L14</f>
        <v>40</v>
      </c>
      <c r="O15" s="1" t="e">
        <f>Hispanic!L14</f>
        <v>#VALUE!</v>
      </c>
      <c r="P15" s="1" t="e">
        <f>Asian!L14</f>
        <v>#VALUE!</v>
      </c>
      <c r="Q15" s="1" t="e">
        <f>Hawaiian!L14</f>
        <v>#VALUE!</v>
      </c>
      <c r="R15" s="1" t="e">
        <f>'Am Indian'!L14</f>
        <v>#VALUE!</v>
      </c>
      <c r="S15" s="1" t="e">
        <f>'Other - Mixed'!L14</f>
        <v>#VALUE!</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Cass</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3734</v>
      </c>
      <c r="D6" s="34"/>
      <c r="E6" s="33">
        <f>'Data Entry'!D6</f>
        <v>384</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0.53561863952865563</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384</v>
      </c>
      <c r="P7" s="42">
        <f t="shared" ref="P7:P15" si="2">C7</f>
        <v>2</v>
      </c>
      <c r="Q7" s="42">
        <f>C6-C7</f>
        <v>3732</v>
      </c>
      <c r="R7" s="42">
        <f t="shared" ref="R7:R15" si="3">SUM(N7:Q7)</f>
        <v>4118</v>
      </c>
      <c r="S7" s="30">
        <f t="shared" ref="S7:S15" si="4">R7*((((N7*Q7)-(O7*P7))^2))</f>
        <v>2428895232</v>
      </c>
      <c r="T7" s="30">
        <f t="shared" ref="T7:T15" si="5">(N7+O7)*(P7+Q7)*(N7+P7)*(O7+Q7)</f>
        <v>11803502592</v>
      </c>
      <c r="U7" s="31">
        <f t="shared" ref="U7:U15" si="6">IF((S7&gt;0),S7/T7,"- -")</f>
        <v>0.20577749808317236</v>
      </c>
    </row>
    <row r="8" spans="2:21" ht="18" customHeight="1" x14ac:dyDescent="0.25">
      <c r="B8" s="32" t="str">
        <f>'Data Entry'!A8</f>
        <v>3. Refer to Juvenile Court</v>
      </c>
      <c r="C8" s="33">
        <f>'Data Entry'!C8</f>
        <v>61</v>
      </c>
      <c r="D8" s="34">
        <f>IF((AND(C67&gt;0,C8&gt;0)),(C8/C67),0)</f>
        <v>3050</v>
      </c>
      <c r="E8" s="33">
        <f>'Data Entry'!D8</f>
        <v>23</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23</v>
      </c>
      <c r="O8" s="42">
        <f>((D67*L67)-E8)+0.05</f>
        <v>-22.95</v>
      </c>
      <c r="P8" s="42">
        <f t="shared" si="2"/>
        <v>61</v>
      </c>
      <c r="Q8" s="42">
        <f>(C$67*L67)-C8</f>
        <v>-59</v>
      </c>
      <c r="R8" s="42">
        <f t="shared" si="3"/>
        <v>2.0499999999999972</v>
      </c>
      <c r="S8" s="30">
        <f t="shared" si="4"/>
        <v>3781.6401250000031</v>
      </c>
      <c r="T8" s="30">
        <f t="shared" si="5"/>
        <v>-688.38000000000977</v>
      </c>
      <c r="U8" s="31">
        <f t="shared" si="6"/>
        <v>-5.4935357288125006</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23</v>
      </c>
      <c r="P9" s="42">
        <f t="shared" si="2"/>
        <v>0</v>
      </c>
      <c r="Q9" s="42">
        <f>(C$68*L68)-C9</f>
        <v>61</v>
      </c>
      <c r="R9" s="42">
        <f t="shared" si="3"/>
        <v>84</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23</v>
      </c>
      <c r="P10" s="42">
        <f t="shared" si="2"/>
        <v>0</v>
      </c>
      <c r="Q10" s="42">
        <f>(C$68*L68)-C10</f>
        <v>61</v>
      </c>
      <c r="R10" s="42">
        <f t="shared" si="3"/>
        <v>84</v>
      </c>
      <c r="S10" s="30">
        <f t="shared" si="4"/>
        <v>0</v>
      </c>
      <c r="T10" s="30">
        <f t="shared" si="5"/>
        <v>0</v>
      </c>
      <c r="U10" s="31" t="str">
        <f t="shared" si="6"/>
        <v>- -</v>
      </c>
    </row>
    <row r="11" spans="2:21" ht="18" customHeight="1" x14ac:dyDescent="0.25">
      <c r="B11" s="32" t="str">
        <f>'Data Entry'!A11</f>
        <v>6. Cases Petitioned (Charge Filed)</v>
      </c>
      <c r="C11" s="33">
        <f>'Data Entry'!C11</f>
        <v>28</v>
      </c>
      <c r="D11" s="34">
        <f>IF(((AND(C68&gt;0,C11&gt;0))),(C11/(C68)),0)</f>
        <v>45.901639344262293</v>
      </c>
      <c r="E11" s="33">
        <f>'Data Entry'!D11</f>
        <v>11</v>
      </c>
      <c r="F11" s="34">
        <f>IF(((AND($E$11&gt;0,$D$68&gt;0))),($E$11/($D$68)),0)</f>
        <v>47.826086956521735</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11</v>
      </c>
      <c r="O11" s="42">
        <f>(D$68*L68)-E11</f>
        <v>12</v>
      </c>
      <c r="P11" s="42">
        <f t="shared" si="2"/>
        <v>28</v>
      </c>
      <c r="Q11" s="42">
        <f>(C$68*L68)-C11</f>
        <v>33</v>
      </c>
      <c r="R11" s="42">
        <f t="shared" si="3"/>
        <v>84</v>
      </c>
      <c r="S11" s="30">
        <f t="shared" si="4"/>
        <v>61236</v>
      </c>
      <c r="T11" s="30">
        <f t="shared" si="5"/>
        <v>2462265</v>
      </c>
      <c r="U11" s="31">
        <f t="shared" si="6"/>
        <v>2.4869784527660508E-2</v>
      </c>
    </row>
    <row r="12" spans="2:21" ht="18" customHeight="1" x14ac:dyDescent="0.25">
      <c r="B12" s="32" t="str">
        <f>'Data Entry'!A12</f>
        <v>7. Cases Resulting in Delinquent Findings</v>
      </c>
      <c r="C12" s="33">
        <f>'Data Entry'!C12</f>
        <v>27</v>
      </c>
      <c r="D12" s="34">
        <f>IF(((AND(C69&gt;0,C12&gt;0))),(C12/(C69)),0)</f>
        <v>96.428571428571416</v>
      </c>
      <c r="E12" s="33">
        <f>'Data Entry'!D12</f>
        <v>11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11</v>
      </c>
      <c r="O12" s="42">
        <f>(D69*L69)-E12</f>
        <v>0</v>
      </c>
      <c r="P12" s="42">
        <f t="shared" si="2"/>
        <v>27</v>
      </c>
      <c r="Q12" s="42">
        <f>(C69*L69)-C12</f>
        <v>1.0000000000000036</v>
      </c>
      <c r="R12" s="42">
        <f t="shared" si="3"/>
        <v>39</v>
      </c>
      <c r="S12" s="30">
        <f t="shared" si="4"/>
        <v>4719.0000000000337</v>
      </c>
      <c r="T12" s="30">
        <f t="shared" si="5"/>
        <v>11704.000000000044</v>
      </c>
      <c r="U12" s="31">
        <f t="shared" si="6"/>
        <v>0.40319548872180588</v>
      </c>
    </row>
    <row r="13" spans="2:21" ht="18" customHeight="1" x14ac:dyDescent="0.25">
      <c r="B13" s="32" t="str">
        <f>'Data Entry'!A13</f>
        <v>8. Cases Resulting in Probation Placement</v>
      </c>
      <c r="C13" s="33">
        <f>'Data Entry'!C13</f>
        <v>20</v>
      </c>
      <c r="D13" s="34">
        <f>IF(((AND(C70&gt;0,C13&gt;0))),(C13/(C70)),0)</f>
        <v>74.074074074074076</v>
      </c>
      <c r="E13" s="33">
        <f>'Data Entry'!D13</f>
        <v>8</v>
      </c>
      <c r="F13" s="34">
        <f>IF(((AND($D$70&gt;0,$E$13&gt;0))),($E$13/($D$70)),0)</f>
        <v>72.727272727272734</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8</v>
      </c>
      <c r="O13" s="42">
        <f>(D70*L70)-E13</f>
        <v>3</v>
      </c>
      <c r="P13" s="42">
        <f t="shared" si="2"/>
        <v>20</v>
      </c>
      <c r="Q13" s="42">
        <f>(C70*L70)-C13</f>
        <v>7</v>
      </c>
      <c r="R13" s="42">
        <f t="shared" si="3"/>
        <v>38</v>
      </c>
      <c r="S13" s="30">
        <f t="shared" si="4"/>
        <v>608</v>
      </c>
      <c r="T13" s="30">
        <f t="shared" si="5"/>
        <v>83160</v>
      </c>
      <c r="U13" s="31">
        <f t="shared" si="6"/>
        <v>7.3112073112073109E-3</v>
      </c>
    </row>
    <row r="14" spans="2:21" ht="30.75" customHeight="1" x14ac:dyDescent="0.25">
      <c r="B14" s="32" t="str">
        <f>'Data Entry'!A14</f>
        <v xml:space="preserve">9. Cases Resulting in Confinement in Secure Juvenile Correctional Facilities </v>
      </c>
      <c r="C14" s="33">
        <f>'Data Entry'!C14</f>
        <v>2</v>
      </c>
      <c r="D14" s="34">
        <f>IF(((AND(C70&gt;0,C14&gt;0))), ((C14/(C70))),0)</f>
        <v>7.4074074074074066</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11</v>
      </c>
      <c r="P14" s="42">
        <f t="shared" si="2"/>
        <v>2</v>
      </c>
      <c r="Q14" s="42">
        <f>(C70*L70)-C14</f>
        <v>25</v>
      </c>
      <c r="R14" s="42">
        <f t="shared" si="3"/>
        <v>38</v>
      </c>
      <c r="S14" s="30">
        <f t="shared" si="4"/>
        <v>18392</v>
      </c>
      <c r="T14" s="30">
        <f t="shared" si="5"/>
        <v>21384</v>
      </c>
      <c r="U14" s="31">
        <f t="shared" si="6"/>
        <v>0.86008230452674894</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11</v>
      </c>
      <c r="P15" s="42">
        <f t="shared" si="2"/>
        <v>0</v>
      </c>
      <c r="Q15" s="42">
        <f>(C69*L69)-C15</f>
        <v>28.000000000000004</v>
      </c>
      <c r="R15" s="42">
        <f t="shared" si="3"/>
        <v>39</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3.734</v>
      </c>
      <c r="D42" s="56">
        <f>E6/1000</f>
        <v>0.38400000000000001</v>
      </c>
      <c r="E42" s="56">
        <f>MAX(C42:D42)</f>
        <v>3.734</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0.61</v>
      </c>
      <c r="D44" s="56">
        <f>E8/100</f>
        <v>0.23</v>
      </c>
      <c r="E44" s="56">
        <f>MAX(C44:D44,0)</f>
        <v>0.61</v>
      </c>
      <c r="G44" s="1" t="str">
        <f>B44</f>
        <v>per 100 referrals</v>
      </c>
      <c r="L44" s="57">
        <v>100</v>
      </c>
      <c r="M44" s="57"/>
      <c r="R44" s="49"/>
    </row>
    <row r="45" spans="2:18" ht="15" hidden="1" customHeight="1" x14ac:dyDescent="0.25">
      <c r="B45" s="49" t="s">
        <v>89</v>
      </c>
      <c r="C45" s="49">
        <f>C11/100</f>
        <v>0.28000000000000003</v>
      </c>
      <c r="D45" s="49">
        <f>E11/100</f>
        <v>0.11</v>
      </c>
      <c r="E45" s="56">
        <f>MAX(C45:D45,0)</f>
        <v>0.28000000000000003</v>
      </c>
      <c r="G45" s="1" t="str">
        <f>B45</f>
        <v>per 100 youth petitioned</v>
      </c>
      <c r="L45" s="57">
        <v>100</v>
      </c>
      <c r="M45" s="57"/>
      <c r="R45" s="49"/>
    </row>
    <row r="46" spans="2:18" ht="15" hidden="1" customHeight="1" x14ac:dyDescent="0.25">
      <c r="B46" s="49" t="s">
        <v>90</v>
      </c>
      <c r="C46" s="49">
        <f>C12/100</f>
        <v>0.27</v>
      </c>
      <c r="D46" s="49">
        <f>E12/100</f>
        <v>0.11</v>
      </c>
      <c r="E46" s="56">
        <f>MAX(C46:D46)</f>
        <v>0.27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3.734</v>
      </c>
      <c r="D48" s="56">
        <f>D42</f>
        <v>0.38400000000000001</v>
      </c>
      <c r="E48" s="56">
        <f>MAX(C48:D48)</f>
        <v>3.734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0.61</v>
      </c>
      <c r="D50" s="49">
        <f t="shared" si="9"/>
        <v>0.23</v>
      </c>
      <c r="E50" s="49">
        <f>MAX(C50:D50)</f>
        <v>0.61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0.11</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0.27</v>
      </c>
      <c r="D52" s="49">
        <f>IF(($E46&gt;0),D46,D45)</f>
        <v>0.11</v>
      </c>
      <c r="E52" s="56">
        <f>MAX(C52:D52)</f>
        <v>0.27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3.734</v>
      </c>
      <c r="D54" s="56">
        <f>D48</f>
        <v>0.38400000000000001</v>
      </c>
      <c r="E54" s="56">
        <f>MAX(C54:D54)</f>
        <v>3.734</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referrals</v>
      </c>
      <c r="C56" s="49">
        <f t="shared" si="10"/>
        <v>0.61</v>
      </c>
      <c r="D56" s="49">
        <f t="shared" si="10"/>
        <v>0.23</v>
      </c>
      <c r="E56" s="49">
        <f>MAX(C56:D56)</f>
        <v>0.61</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0.11</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0.27</v>
      </c>
      <c r="D58" s="49">
        <f>IF(($E52&gt;0),D52,D51)</f>
        <v>0.11</v>
      </c>
      <c r="E58" s="56">
        <f>MAX(C58:D58)</f>
        <v>0.27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3.734</v>
      </c>
      <c r="D60" s="56">
        <f>D54</f>
        <v>0.38400000000000001</v>
      </c>
      <c r="E60" s="56">
        <f>MAX(C60:D60)</f>
        <v>3.734</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referrals</v>
      </c>
      <c r="C62" s="49">
        <f t="shared" si="11"/>
        <v>0.61</v>
      </c>
      <c r="D62" s="49">
        <f t="shared" si="11"/>
        <v>0.23</v>
      </c>
      <c r="E62" s="49">
        <f>MAX(C62:D62)</f>
        <v>0.61</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0.11</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0.27</v>
      </c>
      <c r="D64" s="49">
        <f>IF(($E58&gt;0),D58,D57)</f>
        <v>0.11</v>
      </c>
      <c r="E64" s="56">
        <f>MAX(C64:D64)</f>
        <v>0.27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3.734</v>
      </c>
      <c r="D66" s="56">
        <f>D60</f>
        <v>0.38400000000000001</v>
      </c>
      <c r="E66" s="56">
        <f>MAX(C66:D66)</f>
        <v>3.734</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referrals</v>
      </c>
      <c r="C68" s="49">
        <f t="shared" si="12"/>
        <v>0.61</v>
      </c>
      <c r="D68" s="49">
        <f t="shared" si="12"/>
        <v>0.23</v>
      </c>
      <c r="E68" s="49">
        <f>MAX(C68:D68)</f>
        <v>0.61</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0.11</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0.27</v>
      </c>
      <c r="D70" s="49">
        <f>IF(($E64&gt;0),D64,D63)</f>
        <v>0.11</v>
      </c>
      <c r="E70" s="56">
        <f>MAX(C70:D70)</f>
        <v>0.27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Cass</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3734</v>
      </c>
      <c r="D6" s="34"/>
      <c r="E6" s="33">
        <f>'Data Entry'!F6</f>
        <v>36</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0.53561863952865563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36</v>
      </c>
      <c r="P7" s="42">
        <f t="shared" ref="P7:P15" si="4">C7</f>
        <v>2</v>
      </c>
      <c r="Q7" s="42">
        <f>C6-C7</f>
        <v>3732</v>
      </c>
      <c r="R7" s="42">
        <f t="shared" ref="R7:R15" si="5">SUM(N7:Q7)</f>
        <v>3770</v>
      </c>
      <c r="S7" s="30">
        <f t="shared" ref="S7:S15" si="6">R7*((((N7*Q7)-(O7*P7))^2))</f>
        <v>19543680</v>
      </c>
      <c r="T7" s="30">
        <f t="shared" ref="T7:T15" si="7">(N7+O7)*(P7+Q7)*(N7+P7)*(O7+Q7)</f>
        <v>1013019264</v>
      </c>
      <c r="U7" s="31">
        <f t="shared" ref="U7:U15" si="8">IF((S7&gt;0),S7/T7,"- -")</f>
        <v>1.9292505774105396E-2</v>
      </c>
    </row>
    <row r="8" spans="2:21" ht="18" customHeight="1" x14ac:dyDescent="0.25">
      <c r="B8" s="32" t="str">
        <f>'Data Entry'!A8</f>
        <v>3. Refer to Juvenile Court</v>
      </c>
      <c r="C8" s="33">
        <f>'Data Entry'!C8</f>
        <v>61</v>
      </c>
      <c r="D8" s="34">
        <f>IF((AND(C67&gt;0,C8&gt;0)),(C8/C67),0)</f>
        <v>3050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61</v>
      </c>
      <c r="Q8" s="42">
        <f>(C$67*L67)-C8</f>
        <v>-59</v>
      </c>
      <c r="R8" s="42">
        <f t="shared" si="5"/>
        <v>2.0499999999999972</v>
      </c>
      <c r="S8" s="30">
        <f t="shared" si="6"/>
        <v>19.070124999999976</v>
      </c>
      <c r="T8" s="30">
        <f t="shared" si="7"/>
        <v>-359.59500000000003</v>
      </c>
      <c r="U8" s="31">
        <f t="shared" si="8"/>
        <v>-5.3032230703986362E-2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61</v>
      </c>
      <c r="R9" s="42">
        <f t="shared" si="5"/>
        <v>61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61</v>
      </c>
      <c r="R10" s="42">
        <f t="shared" si="5"/>
        <v>61</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45.901639344262293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33</v>
      </c>
      <c r="R11" s="42">
        <f t="shared" si="5"/>
        <v>61</v>
      </c>
      <c r="S11" s="30">
        <f t="shared" si="6"/>
        <v>0</v>
      </c>
      <c r="T11" s="30">
        <f t="shared" si="7"/>
        <v>0</v>
      </c>
      <c r="U11" s="31" t="str">
        <f t="shared" si="8"/>
        <v>- -</v>
      </c>
    </row>
    <row r="12" spans="2:21" ht="18" customHeight="1" x14ac:dyDescent="0.25">
      <c r="B12" s="32" t="str">
        <f>'Data Entry'!A12</f>
        <v>7. Cases Resulting in Delinquent Findings</v>
      </c>
      <c r="C12" s="33">
        <f>'Data Entry'!C12</f>
        <v>27</v>
      </c>
      <c r="D12" s="34">
        <f>IF(((AND(C69&gt;0,C12&gt;0))),(C12/(C69)),0)</f>
        <v>96.428571428571416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27</v>
      </c>
      <c r="Q12" s="42">
        <f>(C69*L69)-C12</f>
        <v>1.0000000000000036</v>
      </c>
      <c r="R12" s="42">
        <f t="shared" si="5"/>
        <v>28.000000000000004</v>
      </c>
      <c r="S12" s="30">
        <f t="shared" si="6"/>
        <v>0</v>
      </c>
      <c r="T12" s="30">
        <f t="shared" si="7"/>
        <v>0</v>
      </c>
      <c r="U12" s="31" t="str">
        <f t="shared" si="8"/>
        <v>- -</v>
      </c>
    </row>
    <row r="13" spans="2:21" ht="18" customHeight="1" x14ac:dyDescent="0.25">
      <c r="B13" s="32" t="str">
        <f>'Data Entry'!A13</f>
        <v>8. Cases Resulting in Probation Placement</v>
      </c>
      <c r="C13" s="33">
        <f>'Data Entry'!C13</f>
        <v>20</v>
      </c>
      <c r="D13" s="34">
        <f>IF(((AND(C70&gt;0,C13&gt;0))),(C13/(C70)),0)</f>
        <v>74.074074074074076</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20</v>
      </c>
      <c r="Q13" s="42">
        <f>(C70*L70)-C13</f>
        <v>7</v>
      </c>
      <c r="R13" s="42">
        <f t="shared" si="5"/>
        <v>27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v>
      </c>
      <c r="D14" s="34">
        <f>IF(((AND(C70&gt;0,C14&gt;0))), ((C14/(C70))),0)</f>
        <v>7.4074074074074066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25</v>
      </c>
      <c r="R14" s="42">
        <f t="shared" si="5"/>
        <v>27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3.734</v>
      </c>
      <c r="D42" s="56">
        <f>E6/1000</f>
        <v>3.5999999999999997E-2</v>
      </c>
      <c r="E42" s="56">
        <f>MAX(C42:D42)</f>
        <v>3.734</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0.61</v>
      </c>
      <c r="D44" s="56">
        <f>E8/100</f>
        <v>0</v>
      </c>
      <c r="E44" s="56">
        <f>MAX(C44:D44,0)</f>
        <v>0.61</v>
      </c>
      <c r="G44" s="1" t="str">
        <f>B44</f>
        <v>per 100 referrals</v>
      </c>
      <c r="L44" s="57">
        <v>100</v>
      </c>
      <c r="M44" s="57"/>
      <c r="R44" s="49"/>
    </row>
    <row r="45" spans="2:18" ht="15" hidden="1" customHeight="1" x14ac:dyDescent="0.25">
      <c r="B45" s="49" t="s">
        <v>89</v>
      </c>
      <c r="C45" s="49">
        <f>C11/100</f>
        <v>0.28000000000000003</v>
      </c>
      <c r="D45" s="49">
        <f>E11/100</f>
        <v>0</v>
      </c>
      <c r="E45" s="56">
        <f>MAX(C45:D45,0)</f>
        <v>0.28000000000000003</v>
      </c>
      <c r="G45" s="1" t="str">
        <f>B45</f>
        <v>per 100 youth petitioned</v>
      </c>
      <c r="L45" s="57">
        <v>100</v>
      </c>
      <c r="M45" s="57"/>
      <c r="R45" s="49"/>
    </row>
    <row r="46" spans="2:18" ht="15" hidden="1" customHeight="1" x14ac:dyDescent="0.25">
      <c r="B46" s="49" t="s">
        <v>90</v>
      </c>
      <c r="C46" s="49">
        <f>C12/100</f>
        <v>0.27</v>
      </c>
      <c r="D46" s="49">
        <f>E12/100</f>
        <v>0</v>
      </c>
      <c r="E46" s="56">
        <f>MAX(C46:D46)</f>
        <v>0.27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3.734</v>
      </c>
      <c r="D48" s="56">
        <f>D42</f>
        <v>3.5999999999999997E-2</v>
      </c>
      <c r="E48" s="56">
        <f>MAX(C48:D48)</f>
        <v>3.734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0.61</v>
      </c>
      <c r="D50" s="49">
        <f t="shared" si="9"/>
        <v>0</v>
      </c>
      <c r="E50" s="49">
        <f>MAX(C50:D50)</f>
        <v>0.61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0.27</v>
      </c>
      <c r="D52" s="49">
        <f>IF(($E46&gt;0),D46,D45)</f>
        <v>0</v>
      </c>
      <c r="E52" s="56">
        <f>MAX(C52:D52)</f>
        <v>0.27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3.734</v>
      </c>
      <c r="D54" s="56">
        <f>D48</f>
        <v>3.5999999999999997E-2</v>
      </c>
      <c r="E54" s="56">
        <f>MAX(C54:D54)</f>
        <v>3.734</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referrals</v>
      </c>
      <c r="C56" s="49">
        <f t="shared" si="10"/>
        <v>0.61</v>
      </c>
      <c r="D56" s="49">
        <f t="shared" si="10"/>
        <v>0</v>
      </c>
      <c r="E56" s="49">
        <f>MAX(C56:D56)</f>
        <v>0.61</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0.27</v>
      </c>
      <c r="D58" s="49">
        <f>IF(($E52&gt;0),D52,D51)</f>
        <v>0</v>
      </c>
      <c r="E58" s="56">
        <f>MAX(C58:D58)</f>
        <v>0.27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3.734</v>
      </c>
      <c r="D60" s="56">
        <f>D54</f>
        <v>3.5999999999999997E-2</v>
      </c>
      <c r="E60" s="56">
        <f>MAX(C60:D60)</f>
        <v>3.734</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referrals</v>
      </c>
      <c r="C62" s="49">
        <f t="shared" si="11"/>
        <v>0.61</v>
      </c>
      <c r="D62" s="49">
        <f t="shared" si="11"/>
        <v>0</v>
      </c>
      <c r="E62" s="49">
        <f>MAX(C62:D62)</f>
        <v>0.61</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0.27</v>
      </c>
      <c r="D64" s="49">
        <f>IF(($E58&gt;0),D58,D57)</f>
        <v>0</v>
      </c>
      <c r="E64" s="56">
        <f>MAX(C64:D64)</f>
        <v>0.27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3.734</v>
      </c>
      <c r="D66" s="56">
        <f>D60</f>
        <v>3.5999999999999997E-2</v>
      </c>
      <c r="E66" s="56">
        <f>MAX(C66:D66)</f>
        <v>3.734</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referrals</v>
      </c>
      <c r="C68" s="49">
        <f t="shared" si="12"/>
        <v>0.61</v>
      </c>
      <c r="D68" s="49">
        <f t="shared" si="12"/>
        <v>0</v>
      </c>
      <c r="E68" s="49">
        <f>MAX(C68:D68)</f>
        <v>0.61</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0.27</v>
      </c>
      <c r="D70" s="49">
        <f>IF(($E64&gt;0),D64,D63)</f>
        <v>0</v>
      </c>
      <c r="E70" s="56">
        <f>MAX(C70:D70)</f>
        <v>0.27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Cass</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3734</v>
      </c>
      <c r="D6" s="34"/>
      <c r="E6" s="33">
        <f>'Data Entry'!E6</f>
        <v>346</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0.53561863952865563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346</v>
      </c>
      <c r="P7" s="42">
        <f t="shared" ref="P7:P15" si="4">C7</f>
        <v>2</v>
      </c>
      <c r="Q7" s="42">
        <f>C6-C7</f>
        <v>3732</v>
      </c>
      <c r="R7" s="42">
        <f t="shared" ref="R7:R15" si="5">SUM(N7:Q7)</f>
        <v>4080</v>
      </c>
      <c r="S7" s="30">
        <f t="shared" ref="S7:S15" si="6">R7*((((N7*Q7)-(O7*P7))^2))</f>
        <v>1953765120</v>
      </c>
      <c r="T7" s="30">
        <f t="shared" ref="T7:T15" si="7">(N7+O7)*(P7+Q7)*(N7+P7)*(O7+Q7)</f>
        <v>10537258384</v>
      </c>
      <c r="U7" s="31">
        <f t="shared" ref="U7:U15" si="8">IF((S7&gt;0),S7/T7,"- -")</f>
        <v>0.18541493895287212</v>
      </c>
    </row>
    <row r="8" spans="2:21" ht="18" customHeight="1" x14ac:dyDescent="0.25">
      <c r="B8" s="32" t="str">
        <f>'Data Entry'!A8</f>
        <v>3. Refer to Juvenile Court</v>
      </c>
      <c r="C8" s="33">
        <f>'Data Entry'!C8</f>
        <v>61</v>
      </c>
      <c r="D8" s="34">
        <f>IF((AND(C67&gt;0,C8&gt;0)),(C8/C67),0)</f>
        <v>3050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61</v>
      </c>
      <c r="Q8" s="42">
        <f>(C$67*L67)-C8</f>
        <v>-59</v>
      </c>
      <c r="R8" s="42">
        <f t="shared" si="5"/>
        <v>2.0499999999999972</v>
      </c>
      <c r="S8" s="30">
        <f t="shared" si="6"/>
        <v>19.070124999999976</v>
      </c>
      <c r="T8" s="30">
        <f t="shared" si="7"/>
        <v>-359.59500000000003</v>
      </c>
      <c r="U8" s="31">
        <f t="shared" si="8"/>
        <v>-5.3032230703986362E-2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61</v>
      </c>
      <c r="R9" s="42">
        <f t="shared" si="5"/>
        <v>61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61</v>
      </c>
      <c r="R10" s="42">
        <f t="shared" si="5"/>
        <v>61</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45.901639344262293</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33</v>
      </c>
      <c r="R11" s="42">
        <f t="shared" si="5"/>
        <v>61</v>
      </c>
      <c r="S11" s="30">
        <f t="shared" si="6"/>
        <v>0</v>
      </c>
      <c r="T11" s="30">
        <f t="shared" si="7"/>
        <v>0</v>
      </c>
      <c r="U11" s="31" t="str">
        <f t="shared" si="8"/>
        <v>- -</v>
      </c>
    </row>
    <row r="12" spans="2:21" ht="18" customHeight="1" x14ac:dyDescent="0.25">
      <c r="B12" s="32" t="str">
        <f>'Data Entry'!A12</f>
        <v>7. Cases Resulting in Delinquent Findings</v>
      </c>
      <c r="C12" s="33">
        <f>'Data Entry'!C12</f>
        <v>27</v>
      </c>
      <c r="D12" s="34">
        <f>IF(((AND(C69&gt;0,C12&gt;0))),(C12/(C69)),0)</f>
        <v>96.428571428571416</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27</v>
      </c>
      <c r="Q12" s="42">
        <f>(C69*L69)-C12</f>
        <v>1.0000000000000036</v>
      </c>
      <c r="R12" s="42">
        <f t="shared" si="5"/>
        <v>28.000000000000004</v>
      </c>
      <c r="S12" s="30">
        <f t="shared" si="6"/>
        <v>0</v>
      </c>
      <c r="T12" s="30">
        <f t="shared" si="7"/>
        <v>0</v>
      </c>
      <c r="U12" s="31" t="str">
        <f t="shared" si="8"/>
        <v>- -</v>
      </c>
    </row>
    <row r="13" spans="2:21" ht="18" customHeight="1" x14ac:dyDescent="0.25">
      <c r="B13" s="32" t="str">
        <f>'Data Entry'!A13</f>
        <v>8. Cases Resulting in Probation Placement</v>
      </c>
      <c r="C13" s="33">
        <f>'Data Entry'!C13</f>
        <v>20</v>
      </c>
      <c r="D13" s="34">
        <f>IF(((AND(C70&gt;0,C13&gt;0))),(C13/(C70)),0)</f>
        <v>74.074074074074076</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20</v>
      </c>
      <c r="Q13" s="42">
        <f>(C70*L70)-C13</f>
        <v>7</v>
      </c>
      <c r="R13" s="42">
        <f t="shared" si="5"/>
        <v>27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v>
      </c>
      <c r="D14" s="34">
        <f>IF(((AND(C70&gt;0,C14&gt;0))), ((C14/(C70))),0)</f>
        <v>7.4074074074074066</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25</v>
      </c>
      <c r="R14" s="42">
        <f t="shared" si="5"/>
        <v>27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3.734</v>
      </c>
      <c r="D42" s="56">
        <f>E6/1000</f>
        <v>0.34599999999999997</v>
      </c>
      <c r="E42" s="56">
        <f>MAX(C42:D42)</f>
        <v>3.734</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0.61</v>
      </c>
      <c r="D44" s="56">
        <f>E8/100</f>
        <v>0</v>
      </c>
      <c r="E44" s="56">
        <f>MAX(C44:D44,0)</f>
        <v>0.61</v>
      </c>
      <c r="G44" s="1" t="str">
        <f>B44</f>
        <v>per 100 referrals</v>
      </c>
      <c r="L44" s="57">
        <v>100</v>
      </c>
      <c r="M44" s="57"/>
      <c r="R44" s="49"/>
    </row>
    <row r="45" spans="2:18" ht="15" hidden="1" customHeight="1" x14ac:dyDescent="0.25">
      <c r="B45" s="49" t="s">
        <v>89</v>
      </c>
      <c r="C45" s="49">
        <f>C11/100</f>
        <v>0.28000000000000003</v>
      </c>
      <c r="D45" s="49">
        <f>E11/100</f>
        <v>0</v>
      </c>
      <c r="E45" s="56">
        <f>MAX(C45:D45,0)</f>
        <v>0.28000000000000003</v>
      </c>
      <c r="G45" s="1" t="str">
        <f>B45</f>
        <v>per 100 youth petitioned</v>
      </c>
      <c r="L45" s="57">
        <v>100</v>
      </c>
      <c r="M45" s="57"/>
      <c r="R45" s="49"/>
    </row>
    <row r="46" spans="2:18" ht="15" hidden="1" customHeight="1" x14ac:dyDescent="0.25">
      <c r="B46" s="49" t="s">
        <v>90</v>
      </c>
      <c r="C46" s="49">
        <f>C12/100</f>
        <v>0.27</v>
      </c>
      <c r="D46" s="49">
        <f>E12/100</f>
        <v>0</v>
      </c>
      <c r="E46" s="56">
        <f>MAX(C46:D46)</f>
        <v>0.27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3.734</v>
      </c>
      <c r="D48" s="56">
        <f>D42</f>
        <v>0.34599999999999997</v>
      </c>
      <c r="E48" s="56">
        <f>MAX(C48:D48)</f>
        <v>3.734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0.61</v>
      </c>
      <c r="D50" s="49">
        <f t="shared" si="9"/>
        <v>0</v>
      </c>
      <c r="E50" s="49">
        <f>MAX(C50:D50)</f>
        <v>0.61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0.27</v>
      </c>
      <c r="D52" s="49">
        <f>IF(($E46&gt;0),D46,D45)</f>
        <v>0</v>
      </c>
      <c r="E52" s="56">
        <f>MAX(C52:D52)</f>
        <v>0.27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3.734</v>
      </c>
      <c r="D54" s="56">
        <f>D48</f>
        <v>0.34599999999999997</v>
      </c>
      <c r="E54" s="56">
        <f>MAX(C54:D54)</f>
        <v>3.734</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referrals</v>
      </c>
      <c r="C56" s="49">
        <f t="shared" si="10"/>
        <v>0.61</v>
      </c>
      <c r="D56" s="49">
        <f t="shared" si="10"/>
        <v>0</v>
      </c>
      <c r="E56" s="49">
        <f>MAX(C56:D56)</f>
        <v>0.61</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0.27</v>
      </c>
      <c r="D58" s="49">
        <f>IF(($E52&gt;0),D52,D51)</f>
        <v>0</v>
      </c>
      <c r="E58" s="56">
        <f>MAX(C58:D58)</f>
        <v>0.27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3.734</v>
      </c>
      <c r="D60" s="56">
        <f>D54</f>
        <v>0.34599999999999997</v>
      </c>
      <c r="E60" s="56">
        <f>MAX(C60:D60)</f>
        <v>3.734</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referrals</v>
      </c>
      <c r="C62" s="49">
        <f t="shared" si="11"/>
        <v>0.61</v>
      </c>
      <c r="D62" s="49">
        <f t="shared" si="11"/>
        <v>0</v>
      </c>
      <c r="E62" s="49">
        <f>MAX(C62:D62)</f>
        <v>0.61</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0.27</v>
      </c>
      <c r="D64" s="49">
        <f>IF(($E58&gt;0),D58,D57)</f>
        <v>0</v>
      </c>
      <c r="E64" s="56">
        <f>MAX(C64:D64)</f>
        <v>0.27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3.734</v>
      </c>
      <c r="D66" s="56">
        <f>D60</f>
        <v>0.34599999999999997</v>
      </c>
      <c r="E66" s="56">
        <f>MAX(C66:D66)</f>
        <v>3.734</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referrals</v>
      </c>
      <c r="C68" s="49">
        <f t="shared" si="12"/>
        <v>0.61</v>
      </c>
      <c r="D68" s="49">
        <f t="shared" si="12"/>
        <v>0</v>
      </c>
      <c r="E68" s="49">
        <f>MAX(C68:D68)</f>
        <v>0.61</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0.27</v>
      </c>
      <c r="D70" s="49">
        <f>IF(($E64&gt;0),D64,D63)</f>
        <v>0</v>
      </c>
      <c r="E70" s="56">
        <f>MAX(C70:D70)</f>
        <v>0.27</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Cass</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3734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0.53561863952865563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3732</v>
      </c>
      <c r="R7" s="42">
        <f t="shared" ref="R7:R15" si="5">SUM(N7:Q7)</f>
        <v>3734</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61</v>
      </c>
      <c r="D8" s="34">
        <f>IF((AND(C67&gt;0,C8&gt;0)),(C8/C67),0)</f>
        <v>3050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61</v>
      </c>
      <c r="Q8" s="42">
        <f>(C$67*L67)-C8</f>
        <v>-59</v>
      </c>
      <c r="R8" s="42">
        <f t="shared" si="5"/>
        <v>2.0499999999999972</v>
      </c>
      <c r="S8" s="30">
        <f t="shared" si="6"/>
        <v>19.070124999999976</v>
      </c>
      <c r="T8" s="30">
        <f t="shared" si="7"/>
        <v>-359.59500000000003</v>
      </c>
      <c r="U8" s="31">
        <f t="shared" si="8"/>
        <v>-5.3032230703986362E-2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61</v>
      </c>
      <c r="R9" s="42">
        <f t="shared" si="5"/>
        <v>61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61</v>
      </c>
      <c r="R10" s="42">
        <f t="shared" si="5"/>
        <v>61</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45.901639344262293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33</v>
      </c>
      <c r="R11" s="42">
        <f t="shared" si="5"/>
        <v>61</v>
      </c>
      <c r="S11" s="30">
        <f t="shared" si="6"/>
        <v>0</v>
      </c>
      <c r="T11" s="30">
        <f t="shared" si="7"/>
        <v>0</v>
      </c>
      <c r="U11" s="31" t="str">
        <f t="shared" si="8"/>
        <v>- -</v>
      </c>
    </row>
    <row r="12" spans="2:21" ht="18" customHeight="1" x14ac:dyDescent="0.25">
      <c r="B12" s="32" t="str">
        <f>'Data Entry'!A12</f>
        <v>7. Cases Resulting in Delinquent Findings</v>
      </c>
      <c r="C12" s="33">
        <f>'Data Entry'!C12</f>
        <v>27</v>
      </c>
      <c r="D12" s="34">
        <f>IF(((AND(C69&gt;0,C12&gt;0))),(C12/(C69)),0)</f>
        <v>96.428571428571416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27</v>
      </c>
      <c r="Q12" s="42">
        <f>(C69*L69)-C12</f>
        <v>1.0000000000000036</v>
      </c>
      <c r="R12" s="42">
        <f t="shared" si="5"/>
        <v>28.000000000000004</v>
      </c>
      <c r="S12" s="30">
        <f t="shared" si="6"/>
        <v>0</v>
      </c>
      <c r="T12" s="30">
        <f t="shared" si="7"/>
        <v>0</v>
      </c>
      <c r="U12" s="31" t="str">
        <f t="shared" si="8"/>
        <v>- -</v>
      </c>
    </row>
    <row r="13" spans="2:21" ht="18" customHeight="1" x14ac:dyDescent="0.25">
      <c r="B13" s="32" t="str">
        <f>'Data Entry'!A13</f>
        <v>8. Cases Resulting in Probation Placement</v>
      </c>
      <c r="C13" s="33">
        <f>'Data Entry'!C13</f>
        <v>20</v>
      </c>
      <c r="D13" s="34">
        <f>IF(((AND(C70&gt;0,C13&gt;0))),(C13/(C70)),0)</f>
        <v>74.074074074074076</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20</v>
      </c>
      <c r="Q13" s="42">
        <f>(C70*L70)-C13</f>
        <v>7</v>
      </c>
      <c r="R13" s="42">
        <f t="shared" si="5"/>
        <v>27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v>
      </c>
      <c r="D14" s="34">
        <f>IF(((AND(C70&gt;0,C14&gt;0))), ((C14/(C70))),0)</f>
        <v>7.4074074074074066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25</v>
      </c>
      <c r="R14" s="42">
        <f t="shared" si="5"/>
        <v>27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3.734</v>
      </c>
      <c r="D42" s="56">
        <f>E6/1000</f>
        <v>0</v>
      </c>
      <c r="E42" s="56">
        <f>MAX(C42:D42)</f>
        <v>3.734</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0.61</v>
      </c>
      <c r="D44" s="56">
        <f>E8/100</f>
        <v>0</v>
      </c>
      <c r="E44" s="56">
        <f>MAX(C44:D44,0)</f>
        <v>0.61</v>
      </c>
      <c r="G44" s="1" t="str">
        <f>B44</f>
        <v>per 100 referrals</v>
      </c>
      <c r="L44" s="57">
        <v>100</v>
      </c>
      <c r="M44" s="57"/>
      <c r="R44" s="49"/>
    </row>
    <row r="45" spans="2:18" ht="15" hidden="1" customHeight="1" x14ac:dyDescent="0.25">
      <c r="B45" s="49" t="s">
        <v>89</v>
      </c>
      <c r="C45" s="49">
        <f>C11/100</f>
        <v>0.28000000000000003</v>
      </c>
      <c r="D45" s="49">
        <f>E11/100</f>
        <v>0</v>
      </c>
      <c r="E45" s="56">
        <f>MAX(C45:D45,0)</f>
        <v>0.28000000000000003</v>
      </c>
      <c r="G45" s="1" t="str">
        <f>B45</f>
        <v>per 100 youth petitioned</v>
      </c>
      <c r="L45" s="57">
        <v>100</v>
      </c>
      <c r="M45" s="57"/>
      <c r="R45" s="49"/>
    </row>
    <row r="46" spans="2:18" ht="15" hidden="1" customHeight="1" x14ac:dyDescent="0.25">
      <c r="B46" s="49" t="s">
        <v>90</v>
      </c>
      <c r="C46" s="49">
        <f>C12/100</f>
        <v>0.27</v>
      </c>
      <c r="D46" s="49">
        <f>E12/100</f>
        <v>0</v>
      </c>
      <c r="E46" s="56">
        <f>MAX(C46:D46)</f>
        <v>0.27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3.734</v>
      </c>
      <c r="D48" s="56">
        <f>D42</f>
        <v>0</v>
      </c>
      <c r="E48" s="56">
        <f>MAX(C48:D48)</f>
        <v>3.734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0.61</v>
      </c>
      <c r="D50" s="49">
        <f t="shared" si="9"/>
        <v>0</v>
      </c>
      <c r="E50" s="49">
        <f>MAX(C50:D50)</f>
        <v>0.61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0.27</v>
      </c>
      <c r="D52" s="49">
        <f>IF(($E46&gt;0),D46,D45)</f>
        <v>0</v>
      </c>
      <c r="E52" s="56">
        <f>MAX(C52:D52)</f>
        <v>0.27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3.734</v>
      </c>
      <c r="D54" s="56">
        <f>D48</f>
        <v>0</v>
      </c>
      <c r="E54" s="56">
        <f>MAX(C54:D54)</f>
        <v>3.734</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referrals</v>
      </c>
      <c r="C56" s="49">
        <f t="shared" si="10"/>
        <v>0.61</v>
      </c>
      <c r="D56" s="49">
        <f t="shared" si="10"/>
        <v>0</v>
      </c>
      <c r="E56" s="49">
        <f>MAX(C56:D56)</f>
        <v>0.61</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0.27</v>
      </c>
      <c r="D58" s="49">
        <f>IF(($E52&gt;0),D52,D51)</f>
        <v>0</v>
      </c>
      <c r="E58" s="56">
        <f>MAX(C58:D58)</f>
        <v>0.27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3.734</v>
      </c>
      <c r="D60" s="56">
        <f>D54</f>
        <v>0</v>
      </c>
      <c r="E60" s="56">
        <f>MAX(C60:D60)</f>
        <v>3.734</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referrals</v>
      </c>
      <c r="C62" s="49">
        <f t="shared" si="11"/>
        <v>0.61</v>
      </c>
      <c r="D62" s="49">
        <f t="shared" si="11"/>
        <v>0</v>
      </c>
      <c r="E62" s="49">
        <f>MAX(C62:D62)</f>
        <v>0.61</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0.27</v>
      </c>
      <c r="D64" s="49">
        <f>IF(($E58&gt;0),D58,D57)</f>
        <v>0</v>
      </c>
      <c r="E64" s="56">
        <f>MAX(C64:D64)</f>
        <v>0.27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3.734</v>
      </c>
      <c r="D66" s="56">
        <f>D60</f>
        <v>0</v>
      </c>
      <c r="E66" s="56">
        <f>MAX(C66:D66)</f>
        <v>3.734</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referrals</v>
      </c>
      <c r="C68" s="49">
        <f t="shared" si="12"/>
        <v>0.61</v>
      </c>
      <c r="D68" s="49">
        <f t="shared" si="12"/>
        <v>0</v>
      </c>
      <c r="E68" s="49">
        <f>MAX(C68:D68)</f>
        <v>0.61</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0.27</v>
      </c>
      <c r="D70" s="49">
        <f>IF(($E64&gt;0),D64,D63)</f>
        <v>0</v>
      </c>
      <c r="E70" s="56">
        <f>MAX(C70:D70)</f>
        <v>0.27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Cass</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3734</v>
      </c>
      <c r="D6" s="34"/>
      <c r="E6" s="33">
        <f>'Data Entry'!H6</f>
        <v>75</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v>
      </c>
      <c r="D7" s="34">
        <f>IF((AND(C66&gt;0,C7&gt;0)),(C7/C66),0)</f>
        <v>0.53561863952865563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75</v>
      </c>
      <c r="P7" s="42">
        <f t="shared" ref="P7:P15" si="4">C7</f>
        <v>2</v>
      </c>
      <c r="Q7" s="42">
        <f>C6-C7</f>
        <v>3732</v>
      </c>
      <c r="R7" s="42">
        <f t="shared" ref="R7:R15" si="5">SUM(N7:Q7)</f>
        <v>3809</v>
      </c>
      <c r="S7" s="30">
        <f t="shared" ref="S7:S15" si="6">R7*((((N7*Q7)-(O7*P7))^2))</f>
        <v>85702500</v>
      </c>
      <c r="T7" s="30">
        <f t="shared" ref="T7:T15" si="7">(N7+O7)*(P7+Q7)*(N7+P7)*(O7+Q7)</f>
        <v>2132300700</v>
      </c>
      <c r="U7" s="31">
        <f t="shared" ref="U7:U15" si="8">IF((S7&gt;0),S7/T7,"- -")</f>
        <v>4.019250192995763E-2</v>
      </c>
    </row>
    <row r="8" spans="2:21" ht="18" customHeight="1" x14ac:dyDescent="0.25">
      <c r="B8" s="32" t="str">
        <f>'Data Entry'!A8</f>
        <v>3. Refer to Juvenile Court</v>
      </c>
      <c r="C8" s="33">
        <f>'Data Entry'!C8</f>
        <v>61</v>
      </c>
      <c r="D8" s="34">
        <f>IF((AND(C67&gt;0,C8&gt;0)),(C8/C67),0)</f>
        <v>3050</v>
      </c>
      <c r="E8" s="33">
        <f>'Data Entry'!H8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61</v>
      </c>
      <c r="Q8" s="42">
        <f>(C$67*L67)-C8</f>
        <v>-59</v>
      </c>
      <c r="R8" s="42">
        <f t="shared" si="5"/>
        <v>2.0499999999999972</v>
      </c>
      <c r="S8" s="30">
        <f t="shared" si="6"/>
        <v>2.260125000000015</v>
      </c>
      <c r="T8" s="30">
        <f t="shared" si="7"/>
        <v>-371.69000000000034</v>
      </c>
      <c r="U8" s="31">
        <f t="shared" si="8"/>
        <v>-6.0806720654309051E-3</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61</v>
      </c>
      <c r="R9" s="42">
        <f t="shared" si="5"/>
        <v>62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61</v>
      </c>
      <c r="R10" s="42">
        <f t="shared" si="5"/>
        <v>62</v>
      </c>
      <c r="S10" s="30">
        <f t="shared" si="6"/>
        <v>0</v>
      </c>
      <c r="T10" s="30">
        <f t="shared" si="7"/>
        <v>0</v>
      </c>
      <c r="U10" s="31" t="str">
        <f t="shared" si="8"/>
        <v>- -</v>
      </c>
    </row>
    <row r="11" spans="2:21" ht="18" customHeight="1" x14ac:dyDescent="0.25">
      <c r="B11" s="32" t="str">
        <f>'Data Entry'!A11</f>
        <v>6. Cases Petitioned (Charge Filed)</v>
      </c>
      <c r="C11" s="33">
        <f>'Data Entry'!C11</f>
        <v>28</v>
      </c>
      <c r="D11" s="34">
        <f>IF(((AND(C68&gt;0,C11&gt;0))),(C11/(C68)),0)</f>
        <v>45.901639344262293</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28</v>
      </c>
      <c r="Q11" s="42">
        <f>(C$68*L68)-C11</f>
        <v>33</v>
      </c>
      <c r="R11" s="42">
        <f t="shared" si="5"/>
        <v>62</v>
      </c>
      <c r="S11" s="30">
        <f t="shared" si="6"/>
        <v>48608</v>
      </c>
      <c r="T11" s="30">
        <f t="shared" si="7"/>
        <v>58072</v>
      </c>
      <c r="U11" s="31">
        <f t="shared" si="8"/>
        <v>0.837029893924783</v>
      </c>
    </row>
    <row r="12" spans="2:21" ht="18" customHeight="1" x14ac:dyDescent="0.25">
      <c r="B12" s="32" t="str">
        <f>'Data Entry'!A12</f>
        <v>7. Cases Resulting in Delinquent Findings</v>
      </c>
      <c r="C12" s="33">
        <f>'Data Entry'!C12</f>
        <v>27</v>
      </c>
      <c r="D12" s="34">
        <f>IF(((AND(C69&gt;0,C12&gt;0))),(C12/(C69)),0)</f>
        <v>96.428571428571416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27</v>
      </c>
      <c r="Q12" s="42">
        <f>(C69*L69)-C12</f>
        <v>1.0000000000000036</v>
      </c>
      <c r="R12" s="42">
        <f t="shared" si="5"/>
        <v>28.000000000000004</v>
      </c>
      <c r="S12" s="30">
        <f t="shared" si="6"/>
        <v>0</v>
      </c>
      <c r="T12" s="30">
        <f t="shared" si="7"/>
        <v>0</v>
      </c>
      <c r="U12" s="31" t="str">
        <f t="shared" si="8"/>
        <v>- -</v>
      </c>
    </row>
    <row r="13" spans="2:21" ht="18" customHeight="1" x14ac:dyDescent="0.25">
      <c r="B13" s="32" t="str">
        <f>'Data Entry'!A13</f>
        <v>8. Cases Resulting in Probation Placement</v>
      </c>
      <c r="C13" s="33">
        <f>'Data Entry'!C13</f>
        <v>20</v>
      </c>
      <c r="D13" s="34">
        <f>IF(((AND(C70&gt;0,C13&gt;0))),(C13/(C70)),0)</f>
        <v>74.074074074074076</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20</v>
      </c>
      <c r="Q13" s="42">
        <f>(C70*L70)-C13</f>
        <v>7</v>
      </c>
      <c r="R13" s="42">
        <f t="shared" si="5"/>
        <v>27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v>
      </c>
      <c r="D14" s="34">
        <f>IF(((AND(C70&gt;0,C14&gt;0))), ((C14/(C70))),0)</f>
        <v>7.4074074074074066</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25</v>
      </c>
      <c r="R14" s="42">
        <f t="shared" si="5"/>
        <v>27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3.734</v>
      </c>
      <c r="D42" s="56">
        <f>E6/1000</f>
        <v>7.4999999999999997E-2</v>
      </c>
      <c r="E42" s="56">
        <f>MAX(C42:D42)</f>
        <v>3.734</v>
      </c>
      <c r="G42" s="1" t="str">
        <f>B42</f>
        <v>per 1000 youth</v>
      </c>
      <c r="L42" s="57">
        <v>1000</v>
      </c>
      <c r="M42" s="57"/>
      <c r="R42" s="49"/>
    </row>
    <row r="43" spans="2:18" ht="15" hidden="1" customHeight="1" x14ac:dyDescent="0.25">
      <c r="B43" s="49" t="s">
        <v>87</v>
      </c>
      <c r="C43" s="56">
        <f>C7/100</f>
        <v>0.02</v>
      </c>
      <c r="D43" s="56">
        <f>E7/100</f>
        <v>0</v>
      </c>
      <c r="E43" s="56">
        <f>MAX(C43:D43,0)</f>
        <v>0.02</v>
      </c>
      <c r="G43" s="1" t="str">
        <f>B43</f>
        <v>per 100 arrests</v>
      </c>
      <c r="L43" s="57">
        <v>100</v>
      </c>
      <c r="M43" s="57"/>
      <c r="R43" s="49"/>
    </row>
    <row r="44" spans="2:18" ht="15" hidden="1" customHeight="1" x14ac:dyDescent="0.25">
      <c r="B44" s="49" t="s">
        <v>88</v>
      </c>
      <c r="C44" s="56">
        <f>C8/100</f>
        <v>0.61</v>
      </c>
      <c r="D44" s="56">
        <f>E8/100</f>
        <v>0.01</v>
      </c>
      <c r="E44" s="56">
        <f>MAX(C44:D44,0)</f>
        <v>0.61</v>
      </c>
      <c r="G44" s="1" t="str">
        <f>B44</f>
        <v>per 100 referrals</v>
      </c>
      <c r="L44" s="57">
        <v>100</v>
      </c>
      <c r="M44" s="57"/>
      <c r="R44" s="49"/>
    </row>
    <row r="45" spans="2:18" ht="15" hidden="1" customHeight="1" x14ac:dyDescent="0.25">
      <c r="B45" s="49" t="s">
        <v>89</v>
      </c>
      <c r="C45" s="49">
        <f>C11/100</f>
        <v>0.28000000000000003</v>
      </c>
      <c r="D45" s="49">
        <f>E11/100</f>
        <v>0</v>
      </c>
      <c r="E45" s="56">
        <f>MAX(C45:D45,0)</f>
        <v>0.28000000000000003</v>
      </c>
      <c r="G45" s="1" t="str">
        <f>B45</f>
        <v>per 100 youth petitioned</v>
      </c>
      <c r="L45" s="57">
        <v>100</v>
      </c>
      <c r="M45" s="57"/>
      <c r="R45" s="49"/>
    </row>
    <row r="46" spans="2:18" ht="15" hidden="1" customHeight="1" x14ac:dyDescent="0.25">
      <c r="B46" s="49" t="s">
        <v>90</v>
      </c>
      <c r="C46" s="49">
        <f>C12/100</f>
        <v>0.27</v>
      </c>
      <c r="D46" s="49">
        <f>E12/100</f>
        <v>0</v>
      </c>
      <c r="E46" s="56">
        <f>MAX(C46:D46)</f>
        <v>0.27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3.734</v>
      </c>
      <c r="D48" s="56">
        <f>D42</f>
        <v>7.4999999999999997E-2</v>
      </c>
      <c r="E48" s="56">
        <f>MAX(C48:D48)</f>
        <v>3.734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0.61</v>
      </c>
      <c r="D50" s="49">
        <f t="shared" si="9"/>
        <v>0.01</v>
      </c>
      <c r="E50" s="49">
        <f>MAX(C50:D50)</f>
        <v>0.61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x14ac:dyDescent="0.25">
      <c r="B52" s="49" t="str">
        <f>IF(($E46&gt;0),B46,B45)</f>
        <v>per 100 youth found delinquent</v>
      </c>
      <c r="C52" s="49">
        <f>IF(($E46&gt;0),C46,C45)</f>
        <v>0.27</v>
      </c>
      <c r="D52" s="49">
        <f>IF(($E46&gt;0),D46,D45)</f>
        <v>0</v>
      </c>
      <c r="E52" s="56">
        <f>MAX(C52:D52)</f>
        <v>0.27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3.734</v>
      </c>
      <c r="D54" s="56">
        <f>D48</f>
        <v>7.4999999999999997E-2</v>
      </c>
      <c r="E54" s="56">
        <f>MAX(C54:D54)</f>
        <v>3.734</v>
      </c>
      <c r="G54" s="1" t="str">
        <f>G48</f>
        <v>per 1000 youth</v>
      </c>
      <c r="L54" s="58">
        <f>L48</f>
        <v>1000</v>
      </c>
      <c r="M54" s="58"/>
    </row>
    <row r="55" spans="2:18" ht="15" hidden="1" customHeight="1" x14ac:dyDescent="0.25">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x14ac:dyDescent="0.25">
      <c r="B56" s="49" t="str">
        <f t="shared" si="10"/>
        <v>per 100 referrals</v>
      </c>
      <c r="C56" s="49">
        <f t="shared" si="10"/>
        <v>0.61</v>
      </c>
      <c r="D56" s="49">
        <f t="shared" si="10"/>
        <v>0.01</v>
      </c>
      <c r="E56" s="49">
        <f>MAX(C56:D56)</f>
        <v>0.61</v>
      </c>
      <c r="G56" s="1" t="str">
        <f>G50</f>
        <v>per 100 referrals</v>
      </c>
      <c r="L56" s="58">
        <f>IF(($E50&gt;0),L50,L49)</f>
        <v>100</v>
      </c>
      <c r="M56" s="58"/>
    </row>
    <row r="57" spans="2:18" ht="15" hidden="1" customHeight="1" x14ac:dyDescent="0.25">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x14ac:dyDescent="0.25">
      <c r="B58" s="49" t="str">
        <f>IF(($E52&gt;0),B52,B51)</f>
        <v>per 100 youth found delinquent</v>
      </c>
      <c r="C58" s="49">
        <f>IF(($E52&gt;0),C52,C51)</f>
        <v>0.27</v>
      </c>
      <c r="D58" s="49">
        <f>IF(($E52&gt;0),D52,D51)</f>
        <v>0</v>
      </c>
      <c r="E58" s="56">
        <f>MAX(C58:D58)</f>
        <v>0.27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3.734</v>
      </c>
      <c r="D60" s="56">
        <f>D54</f>
        <v>7.4999999999999997E-2</v>
      </c>
      <c r="E60" s="56">
        <f>MAX(C60:D60)</f>
        <v>3.734</v>
      </c>
      <c r="G60" s="1" t="str">
        <f>G54</f>
        <v>per 1000 youth</v>
      </c>
      <c r="L60" s="58">
        <f>L54</f>
        <v>1000</v>
      </c>
      <c r="M60" s="58"/>
    </row>
    <row r="61" spans="2:18" ht="15" hidden="1" customHeight="1" x14ac:dyDescent="0.25">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x14ac:dyDescent="0.25">
      <c r="B62" s="49" t="str">
        <f t="shared" si="11"/>
        <v>per 100 referrals</v>
      </c>
      <c r="C62" s="49">
        <f t="shared" si="11"/>
        <v>0.61</v>
      </c>
      <c r="D62" s="49">
        <f t="shared" si="11"/>
        <v>0.01</v>
      </c>
      <c r="E62" s="49">
        <f>MAX(C62:D62)</f>
        <v>0.61</v>
      </c>
      <c r="G62" s="1" t="str">
        <f>G56</f>
        <v>per 100 referrals</v>
      </c>
      <c r="L62" s="58">
        <f>IF(($E56&gt;0),L56,L55)</f>
        <v>100</v>
      </c>
      <c r="M62" s="58"/>
    </row>
    <row r="63" spans="2:18" ht="15" hidden="1" customHeight="1" x14ac:dyDescent="0.25">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x14ac:dyDescent="0.25">
      <c r="B64" s="49" t="str">
        <f>IF(($E58&gt;0),B58,B57)</f>
        <v>per 100 youth found delinquent</v>
      </c>
      <c r="C64" s="49">
        <f>IF(($E58&gt;0),C58,C57)</f>
        <v>0.27</v>
      </c>
      <c r="D64" s="49">
        <f>IF(($E58&gt;0),D58,D57)</f>
        <v>0</v>
      </c>
      <c r="E64" s="56">
        <f>MAX(C64:D64)</f>
        <v>0.27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3.734</v>
      </c>
      <c r="D66" s="56">
        <f>D60</f>
        <v>7.4999999999999997E-2</v>
      </c>
      <c r="E66" s="56">
        <f>MAX(C66:D66)</f>
        <v>3.734</v>
      </c>
      <c r="G66" s="1" t="str">
        <f>G60</f>
        <v>per 1000 youth</v>
      </c>
      <c r="L66" s="58">
        <f>L60</f>
        <v>1000</v>
      </c>
      <c r="M66" s="58">
        <f>IF((B66=G66),1,2)</f>
        <v>1</v>
      </c>
    </row>
    <row r="67" spans="2:13" ht="15" hidden="1" customHeight="1" x14ac:dyDescent="0.25">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x14ac:dyDescent="0.25">
      <c r="B68" s="49" t="str">
        <f t="shared" si="12"/>
        <v>per 100 referrals</v>
      </c>
      <c r="C68" s="49">
        <f t="shared" si="12"/>
        <v>0.61</v>
      </c>
      <c r="D68" s="49">
        <f t="shared" si="12"/>
        <v>0.01</v>
      </c>
      <c r="E68" s="49">
        <f>MAX(C68:D68)</f>
        <v>0.61</v>
      </c>
      <c r="G68" s="1" t="str">
        <f>G62</f>
        <v>per 100 referrals</v>
      </c>
      <c r="L68" s="58">
        <f>IF(($E62&gt;0),L62,L61)</f>
        <v>100</v>
      </c>
      <c r="M68" s="58">
        <f>IF((B68=G68),1,2)</f>
        <v>1</v>
      </c>
    </row>
    <row r="69" spans="2:13" ht="15" hidden="1" customHeight="1" x14ac:dyDescent="0.25">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0.27</v>
      </c>
      <c r="D70" s="49">
        <f>IF(($E64&gt;0),D64,D63)</f>
        <v>0</v>
      </c>
      <c r="E70" s="56">
        <f>MAX(C70:D70)</f>
        <v>0.27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U47JMPN4QEAR-1806752177-30158</_dlc_DocId>
    <_dlc_DocIdUrl xmlns="ac3811b5-0f3e-49e2-ba69-f2ffa0c782af">
      <Url>https://michiganphi.sharepoint.com/sites/CMDMC/_layouts/15/DocIdRedir.aspx?ID=U47JMPN4QEAR-1806752177-30158</Url>
      <Description>U47JMPN4QEAR-1806752177-30158</Description>
    </_dlc_DocIdUrl>
  </documentManagement>
</p:properties>
</file>

<file path=customXml/itemProps1.xml><?xml version="1.0" encoding="utf-8"?>
<ds:datastoreItem xmlns:ds="http://schemas.openxmlformats.org/officeDocument/2006/customXml" ds:itemID="{C772C7CB-6D7B-43A2-9053-31ACB3B26092}"/>
</file>

<file path=customXml/itemProps2.xml><?xml version="1.0" encoding="utf-8"?>
<ds:datastoreItem xmlns:ds="http://schemas.openxmlformats.org/officeDocument/2006/customXml" ds:itemID="{FD152B9E-9B80-4970-9354-9774A11A627D}"/>
</file>

<file path=customXml/itemProps3.xml><?xml version="1.0" encoding="utf-8"?>
<ds:datastoreItem xmlns:ds="http://schemas.openxmlformats.org/officeDocument/2006/customXml" ds:itemID="{9D1D8E73-5CE6-442A-AF7E-2DF1DDB76914}"/>
</file>

<file path=customXml/itemProps4.xml><?xml version="1.0" encoding="utf-8"?>
<ds:datastoreItem xmlns:ds="http://schemas.openxmlformats.org/officeDocument/2006/customXml" ds:itemID="{548DBE8B-26D3-43AC-8314-DFD15DA544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6e57c8d3-7b65-47cc-807b-b218087cb59a</vt:lpwstr>
  </property>
</Properties>
</file>