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7" documentId="8_{6EA13E67-A5EE-42CD-8024-1050232FFAB2}" xr6:coauthVersionLast="47" xr6:coauthVersionMax="47" xr10:uidLastSave="{3F0108D6-247B-4726-B8DD-5759B471F06E}"/>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8" i="3" s="1"/>
  <c r="G54" i="3" s="1"/>
  <c r="G60" i="3" s="1"/>
  <c r="G66" i="3" s="1"/>
  <c r="G43" i="3"/>
  <c r="G49" i="3"/>
  <c r="G55" i="3"/>
  <c r="G61" i="3" s="1"/>
  <c r="G67" i="3" s="1"/>
  <c r="G44" i="3"/>
  <c r="G50" i="3" s="1"/>
  <c r="G56" i="3" s="1"/>
  <c r="G62" i="3" s="1"/>
  <c r="G68" i="3" s="1"/>
  <c r="G45" i="3"/>
  <c r="G46" i="3"/>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c r="G69" i="7" s="1"/>
  <c r="G46" i="7"/>
  <c r="L48" i="7"/>
  <c r="G50" i="7"/>
  <c r="G56" i="7" s="1"/>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c r="G60" i="8"/>
  <c r="G66" i="8" s="1"/>
  <c r="L48" i="8"/>
  <c r="L54" i="8" s="1"/>
  <c r="L60" i="8" s="1"/>
  <c r="L66" i="8" s="1"/>
  <c r="G51" i="8"/>
  <c r="G57" i="8" s="1"/>
  <c r="G63" i="8" s="1"/>
  <c r="G69"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6" l="1"/>
  <c r="F27" i="6"/>
  <c r="F27" i="2"/>
  <c r="M66" i="2"/>
  <c r="M66" i="8"/>
  <c r="F27" i="8"/>
  <c r="F27" i="4"/>
  <c r="M66" i="4"/>
  <c r="F27" i="3"/>
  <c r="M66" i="3"/>
  <c r="M66" i="7"/>
  <c r="F27" i="7"/>
  <c r="F27" i="5"/>
  <c r="M66" i="5"/>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C49"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E51" i="2" s="1"/>
  <c r="L51" i="2"/>
  <c r="E49" i="5"/>
  <c r="L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D55" i="5" l="1"/>
  <c r="C55" i="5"/>
  <c r="B55" i="5"/>
  <c r="B58" i="8"/>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L64" i="3"/>
  <c r="L56" i="8"/>
  <c r="E58" i="8"/>
  <c r="L64" i="8" s="1"/>
  <c r="L64" i="5"/>
  <c r="D64" i="5"/>
  <c r="B56" i="8"/>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C63" i="3"/>
  <c r="E57" i="8"/>
  <c r="L63" i="8" s="1"/>
  <c r="D64" i="8"/>
  <c r="Q8" i="13"/>
  <c r="I7" i="9"/>
  <c r="B64" i="8"/>
  <c r="C64" i="8"/>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3" i="3" l="1"/>
  <c r="C69" i="3" s="1"/>
  <c r="D15" i="3" s="1"/>
  <c r="D63" i="8"/>
  <c r="C63" i="8"/>
  <c r="B63" i="8"/>
  <c r="E64" i="8"/>
  <c r="B70" i="3"/>
  <c r="M70" i="3" s="1"/>
  <c r="D70" i="6"/>
  <c r="F14" i="6" s="1"/>
  <c r="C70" i="3"/>
  <c r="D14" i="3" s="1"/>
  <c r="L70" i="3"/>
  <c r="L70" i="6"/>
  <c r="C70" i="6"/>
  <c r="D14" i="6" s="1"/>
  <c r="C69" i="7"/>
  <c r="D12" i="7" s="1"/>
  <c r="L69" i="7"/>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L69" i="3" l="1"/>
  <c r="Q12" i="3" s="1"/>
  <c r="B70" i="8"/>
  <c r="M70" i="8" s="1"/>
  <c r="D69" i="3"/>
  <c r="E69" i="3" s="1"/>
  <c r="F34" i="3"/>
  <c r="D12" i="3"/>
  <c r="B69" i="3"/>
  <c r="M69" i="3" s="1"/>
  <c r="E63" i="8"/>
  <c r="D69" i="8" s="1"/>
  <c r="F15" i="8" s="1"/>
  <c r="F33" i="3"/>
  <c r="D70" i="8"/>
  <c r="F13" i="8" s="1"/>
  <c r="L70" i="8"/>
  <c r="C70" i="8"/>
  <c r="O14" i="6"/>
  <c r="E70" i="6"/>
  <c r="F13" i="6"/>
  <c r="B69" i="6"/>
  <c r="M69" i="6" s="1"/>
  <c r="Q13" i="3"/>
  <c r="Q12" i="7"/>
  <c r="Q14" i="3"/>
  <c r="D13" i="6"/>
  <c r="D13" i="3"/>
  <c r="Q13" i="6"/>
  <c r="Q14" i="6"/>
  <c r="O13" i="6"/>
  <c r="Q15" i="7"/>
  <c r="D15" i="7"/>
  <c r="O13" i="3"/>
  <c r="F14" i="3"/>
  <c r="E69" i="7"/>
  <c r="E70" i="3"/>
  <c r="C69" i="6"/>
  <c r="D12" i="6" s="1"/>
  <c r="F12" i="7"/>
  <c r="O12" i="7"/>
  <c r="K12" i="7" s="1"/>
  <c r="O15" i="7"/>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U9" i="4" s="1"/>
  <c r="J9" i="4" s="1"/>
  <c r="M9" i="4" s="1"/>
  <c r="G9" i="4" s="1"/>
  <c r="G10" i="16" s="1"/>
  <c r="F32" i="2"/>
  <c r="R10" i="3"/>
  <c r="S10" i="3" s="1"/>
  <c r="F8" i="2"/>
  <c r="T14" i="4"/>
  <c r="B70" i="2"/>
  <c r="F33" i="2" s="1"/>
  <c r="D69" i="5"/>
  <c r="O15" i="5" s="1"/>
  <c r="T13" i="5"/>
  <c r="F34" i="7"/>
  <c r="M70" i="7"/>
  <c r="O13" i="7"/>
  <c r="K11" i="3"/>
  <c r="R11" i="3"/>
  <c r="S11" i="3" s="1"/>
  <c r="U11" i="3" s="1"/>
  <c r="J11" i="3" s="1"/>
  <c r="M11" i="3" s="1"/>
  <c r="L68" i="7"/>
  <c r="Q9" i="7" s="1"/>
  <c r="C69" i="5"/>
  <c r="Q12" i="5" s="1"/>
  <c r="B69" i="5"/>
  <c r="F32" i="5" s="1"/>
  <c r="D68" i="7"/>
  <c r="E68" i="7" s="1"/>
  <c r="B68" i="7"/>
  <c r="F31" i="7" s="1"/>
  <c r="K9" i="3"/>
  <c r="K10" i="3"/>
  <c r="R14" i="4"/>
  <c r="S14" i="4" s="1"/>
  <c r="D13" i="7"/>
  <c r="O12" i="3"/>
  <c r="R12" i="3" s="1"/>
  <c r="S12" i="3" s="1"/>
  <c r="R9" i="3"/>
  <c r="S9" i="3" s="1"/>
  <c r="T9" i="3"/>
  <c r="R14" i="5"/>
  <c r="S14" i="5" s="1"/>
  <c r="U14" i="5" s="1"/>
  <c r="J14" i="5" s="1"/>
  <c r="M14" i="5" s="1"/>
  <c r="F33" i="8"/>
  <c r="C70" i="2"/>
  <c r="D14" i="2" s="1"/>
  <c r="T14" i="5"/>
  <c r="K14" i="5"/>
  <c r="Q15" i="3"/>
  <c r="D70" i="2"/>
  <c r="O14" i="2" s="1"/>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5" i="3" l="1"/>
  <c r="F34" i="8"/>
  <c r="F15" i="3"/>
  <c r="F12" i="3"/>
  <c r="U10" i="3"/>
  <c r="J10" i="3" s="1"/>
  <c r="M10" i="3" s="1"/>
  <c r="G10" i="3" s="1"/>
  <c r="I11" i="16" s="1"/>
  <c r="G11" i="3"/>
  <c r="I12" i="16" s="1"/>
  <c r="F32" i="3"/>
  <c r="F35" i="3"/>
  <c r="C69" i="8"/>
  <c r="E69" i="8" s="1"/>
  <c r="L69" i="8"/>
  <c r="O15" i="8" s="1"/>
  <c r="F12" i="8"/>
  <c r="B69" i="8"/>
  <c r="M69" i="8" s="1"/>
  <c r="Q13" i="8"/>
  <c r="D13" i="8"/>
  <c r="D14" i="8"/>
  <c r="Q14" i="8"/>
  <c r="O13" i="8"/>
  <c r="E70" i="8"/>
  <c r="F14" i="8"/>
  <c r="O14" i="8"/>
  <c r="U13" i="4"/>
  <c r="J13" i="4" s="1"/>
  <c r="L13" i="4" s="1"/>
  <c r="O14" i="16" s="1"/>
  <c r="R14" i="3"/>
  <c r="S14" i="3" s="1"/>
  <c r="U14" i="3" s="1"/>
  <c r="J14" i="3" s="1"/>
  <c r="M14" i="3" s="1"/>
  <c r="G14" i="3" s="1"/>
  <c r="I15" i="16" s="1"/>
  <c r="R14" i="6"/>
  <c r="S14" i="6" s="1"/>
  <c r="U14" i="6" s="1"/>
  <c r="J14" i="6" s="1"/>
  <c r="M14" i="6" s="1"/>
  <c r="G14" i="6" s="1"/>
  <c r="M15" i="13" s="1"/>
  <c r="K13" i="3"/>
  <c r="F32" i="6"/>
  <c r="F35" i="6"/>
  <c r="T15" i="7"/>
  <c r="R13" i="3"/>
  <c r="S13" i="3" s="1"/>
  <c r="T13" i="3"/>
  <c r="T14" i="6"/>
  <c r="D15" i="6"/>
  <c r="U10" i="4"/>
  <c r="J10" i="4" s="1"/>
  <c r="M10" i="4" s="1"/>
  <c r="G10" i="4" s="1"/>
  <c r="G11" i="16" s="1"/>
  <c r="K13" i="6"/>
  <c r="U14" i="4"/>
  <c r="J14" i="4" s="1"/>
  <c r="N30" i="4" s="1"/>
  <c r="K14" i="6"/>
  <c r="T13" i="6"/>
  <c r="R13" i="6"/>
  <c r="S13" i="6" s="1"/>
  <c r="R15" i="7"/>
  <c r="S15" i="7" s="1"/>
  <c r="U15" i="7" s="1"/>
  <c r="J15" i="7" s="1"/>
  <c r="M15" i="7" s="1"/>
  <c r="T12" i="7"/>
  <c r="O12" i="6"/>
  <c r="R12" i="7"/>
  <c r="S12" i="7" s="1"/>
  <c r="K15" i="7"/>
  <c r="E69" i="6"/>
  <c r="K14" i="3"/>
  <c r="T14" i="3"/>
  <c r="O15" i="6"/>
  <c r="Q12" i="6"/>
  <c r="Q15" i="6"/>
  <c r="F15" i="6"/>
  <c r="L11" i="4"/>
  <c r="O12" i="16" s="1"/>
  <c r="K8" i="7"/>
  <c r="O13" i="2"/>
  <c r="T8" i="7"/>
  <c r="U8" i="7" s="1"/>
  <c r="J8" i="7" s="1"/>
  <c r="M8" i="7" s="1"/>
  <c r="T13" i="7"/>
  <c r="Q10" i="7"/>
  <c r="F13" i="2"/>
  <c r="Q11" i="7"/>
  <c r="R8" i="6"/>
  <c r="S8" i="6" s="1"/>
  <c r="F14" i="2"/>
  <c r="F10" i="7"/>
  <c r="F30" i="7"/>
  <c r="M68" i="7"/>
  <c r="F29" i="7"/>
  <c r="F15" i="5"/>
  <c r="T8" i="6"/>
  <c r="K8" i="6"/>
  <c r="O12" i="5"/>
  <c r="R12" i="5" s="1"/>
  <c r="S12" i="5" s="1"/>
  <c r="U12" i="5" s="1"/>
  <c r="J12" i="5" s="1"/>
  <c r="F35" i="5"/>
  <c r="F12" i="5"/>
  <c r="M69" i="5"/>
  <c r="K8" i="2"/>
  <c r="M70" i="2"/>
  <c r="F9" i="7"/>
  <c r="O11" i="7"/>
  <c r="F34" i="2"/>
  <c r="O10" i="7"/>
  <c r="F11" i="7"/>
  <c r="O9" i="7"/>
  <c r="R9" i="7" s="1"/>
  <c r="S9" i="7" s="1"/>
  <c r="L11" i="3"/>
  <c r="P12" i="16" s="1"/>
  <c r="E69" i="5"/>
  <c r="K12" i="3"/>
  <c r="D15" i="5"/>
  <c r="T12" i="3"/>
  <c r="U12" i="3" s="1"/>
  <c r="J12" i="3" s="1"/>
  <c r="D12" i="5"/>
  <c r="Q15" i="5"/>
  <c r="K15" i="5" s="1"/>
  <c r="R15" i="3"/>
  <c r="S15" i="3" s="1"/>
  <c r="U15" i="3" s="1"/>
  <c r="J15" i="3" s="1"/>
  <c r="M15" i="3" s="1"/>
  <c r="G15" i="3" s="1"/>
  <c r="I16" i="16" s="1"/>
  <c r="D13" i="2"/>
  <c r="E70" i="2"/>
  <c r="Q14" i="2"/>
  <c r="K14" i="2" s="1"/>
  <c r="L9" i="4"/>
  <c r="O10" i="16" s="1"/>
  <c r="R13" i="7"/>
  <c r="S13" i="7" s="1"/>
  <c r="Q13" i="2"/>
  <c r="U9" i="3"/>
  <c r="J9" i="3" s="1"/>
  <c r="L9" i="3" s="1"/>
  <c r="K15" i="3"/>
  <c r="T15" i="3"/>
  <c r="N30" i="5"/>
  <c r="L14" i="5"/>
  <c r="Q15" i="16" s="1"/>
  <c r="L13" i="5"/>
  <c r="Q14" i="16" s="1"/>
  <c r="K13" i="7"/>
  <c r="T8" i="2"/>
  <c r="U8" i="2" s="1"/>
  <c r="J8" i="2" s="1"/>
  <c r="M11" i="4"/>
  <c r="G11" i="4" s="1"/>
  <c r="T14" i="7"/>
  <c r="U14" i="7" s="1"/>
  <c r="J14" i="7" s="1"/>
  <c r="K14" i="7"/>
  <c r="D9" i="9"/>
  <c r="G10"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3" i="3" l="1"/>
  <c r="J13" i="3" s="1"/>
  <c r="I12" i="13"/>
  <c r="L10" i="3"/>
  <c r="P11" i="16" s="1"/>
  <c r="E10" i="9"/>
  <c r="I11" i="13"/>
  <c r="F35" i="8"/>
  <c r="D12" i="8"/>
  <c r="E11" i="9"/>
  <c r="D15" i="8"/>
  <c r="I15" i="13"/>
  <c r="O12" i="8"/>
  <c r="Q15" i="8"/>
  <c r="T15" i="8" s="1"/>
  <c r="Q12" i="8"/>
  <c r="L14" i="3"/>
  <c r="P15" i="16" s="1"/>
  <c r="R14" i="8"/>
  <c r="S14" i="8" s="1"/>
  <c r="F32" i="8"/>
  <c r="N30" i="3"/>
  <c r="R13" i="8"/>
  <c r="S13" i="8" s="1"/>
  <c r="M13" i="4"/>
  <c r="G13" i="4" s="1"/>
  <c r="G14" i="16" s="1"/>
  <c r="K13" i="8"/>
  <c r="K14" i="8"/>
  <c r="T14" i="8"/>
  <c r="T13" i="8"/>
  <c r="L13" i="3"/>
  <c r="P14" i="16" s="1"/>
  <c r="K12" i="6"/>
  <c r="E14" i="9"/>
  <c r="L10" i="4"/>
  <c r="O11" i="16" s="1"/>
  <c r="D10" i="9"/>
  <c r="M14" i="4"/>
  <c r="G14" i="4" s="1"/>
  <c r="G15" i="16" s="1"/>
  <c r="M13" i="3"/>
  <c r="G13" i="3" s="1"/>
  <c r="I14" i="16" s="1"/>
  <c r="U13" i="7"/>
  <c r="J13" i="7" s="1"/>
  <c r="M13" i="7" s="1"/>
  <c r="L15" i="7"/>
  <c r="S16" i="16" s="1"/>
  <c r="U13" i="6"/>
  <c r="J13" i="6" s="1"/>
  <c r="M13" i="6" s="1"/>
  <c r="G13" i="6" s="1"/>
  <c r="M14" i="13" s="1"/>
  <c r="T12" i="6"/>
  <c r="G11" i="13"/>
  <c r="L14" i="4"/>
  <c r="O15" i="16" s="1"/>
  <c r="U12" i="7"/>
  <c r="J12" i="7" s="1"/>
  <c r="T15" i="6"/>
  <c r="K15" i="6"/>
  <c r="R12" i="6"/>
  <c r="S12" i="6" s="1"/>
  <c r="R15" i="6"/>
  <c r="S15" i="6" s="1"/>
  <c r="M13" i="9"/>
  <c r="U14" i="13"/>
  <c r="U12" i="13"/>
  <c r="M11" i="9"/>
  <c r="T13" i="2"/>
  <c r="U8" i="6"/>
  <c r="J8" i="6" s="1"/>
  <c r="M8" i="6" s="1"/>
  <c r="G8" i="6" s="1"/>
  <c r="M9" i="13" s="1"/>
  <c r="R13" i="2"/>
  <c r="S13" i="2" s="1"/>
  <c r="V11" i="13"/>
  <c r="G14" i="9"/>
  <c r="R10" i="7"/>
  <c r="S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K9" i="7"/>
  <c r="T14" i="2"/>
  <c r="V12" i="13"/>
  <c r="U10" i="13"/>
  <c r="N11" i="9"/>
  <c r="T15" i="5"/>
  <c r="W14" i="13"/>
  <c r="L15" i="3"/>
  <c r="P16" i="16" s="1"/>
  <c r="M9" i="3"/>
  <c r="G9" i="3" s="1"/>
  <c r="I10" i="13" s="1"/>
  <c r="G12" i="13"/>
  <c r="G12" i="16"/>
  <c r="N9" i="9"/>
  <c r="P10" i="16"/>
  <c r="M14" i="7"/>
  <c r="N30" i="7"/>
  <c r="L14" i="7"/>
  <c r="S15" i="16" s="1"/>
  <c r="L8" i="7"/>
  <c r="S9" i="16" s="1"/>
  <c r="O13" i="9"/>
  <c r="M9" i="9"/>
  <c r="O14" i="9"/>
  <c r="V10" i="13"/>
  <c r="W15" i="13"/>
  <c r="U12" i="2"/>
  <c r="J12" i="2" s="1"/>
  <c r="L12" i="2" s="1"/>
  <c r="N13" i="16" s="1"/>
  <c r="D11" i="9"/>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N8" i="9"/>
  <c r="V9" i="13"/>
  <c r="O11" i="9"/>
  <c r="W12" i="13"/>
  <c r="E8" i="9"/>
  <c r="I9" i="13"/>
  <c r="O8" i="9"/>
  <c r="W9"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U13" i="8" l="1"/>
  <c r="J13" i="8" s="1"/>
  <c r="M13" i="8" s="1"/>
  <c r="G13" i="8" s="1"/>
  <c r="K14" i="16" s="1"/>
  <c r="R12" i="8"/>
  <c r="S12" i="8" s="1"/>
  <c r="K12" i="8"/>
  <c r="R15" i="8"/>
  <c r="S15" i="8" s="1"/>
  <c r="U15" i="8" s="1"/>
  <c r="J15" i="8" s="1"/>
  <c r="U14" i="8"/>
  <c r="J14" i="8" s="1"/>
  <c r="N30" i="8" s="1"/>
  <c r="V15" i="13"/>
  <c r="D13" i="9"/>
  <c r="T12" i="8"/>
  <c r="N14" i="9"/>
  <c r="V14" i="13"/>
  <c r="K15" i="8"/>
  <c r="U11" i="13"/>
  <c r="G14" i="13"/>
  <c r="N13" i="9"/>
  <c r="M10" i="9"/>
  <c r="U12" i="6"/>
  <c r="J12" i="6" s="1"/>
  <c r="M12" i="6" s="1"/>
  <c r="G12" i="6" s="1"/>
  <c r="M13" i="13" s="1"/>
  <c r="U15" i="6"/>
  <c r="J15" i="6" s="1"/>
  <c r="M15" i="6" s="1"/>
  <c r="G15" i="6" s="1"/>
  <c r="G15" i="9" s="1"/>
  <c r="M14" i="9"/>
  <c r="D14" i="9"/>
  <c r="Q15" i="9"/>
  <c r="Y16" i="13"/>
  <c r="G15" i="13"/>
  <c r="E13" i="9"/>
  <c r="I14" i="13"/>
  <c r="L13" i="7"/>
  <c r="S14" i="16" s="1"/>
  <c r="L13" i="6"/>
  <c r="R14" i="16" s="1"/>
  <c r="U11" i="7"/>
  <c r="J11" i="7" s="1"/>
  <c r="L11" i="7" s="1"/>
  <c r="S12" i="16" s="1"/>
  <c r="G13" i="9"/>
  <c r="U15" i="13"/>
  <c r="U14" i="2"/>
  <c r="J14" i="2" s="1"/>
  <c r="M14" i="2" s="1"/>
  <c r="G14" i="2" s="1"/>
  <c r="E15" i="16" s="1"/>
  <c r="L12" i="7"/>
  <c r="M12" i="7"/>
  <c r="U13" i="2"/>
  <c r="J13" i="2" s="1"/>
  <c r="M13" i="2" s="1"/>
  <c r="G13" i="2" s="1"/>
  <c r="U10" i="7"/>
  <c r="J10" i="7" s="1"/>
  <c r="M10" i="7" s="1"/>
  <c r="L8" i="6"/>
  <c r="R9" i="16" s="1"/>
  <c r="L15" i="5"/>
  <c r="Q16" i="16" s="1"/>
  <c r="T9" i="13"/>
  <c r="L8" i="9"/>
  <c r="X15" i="13"/>
  <c r="P14" i="9"/>
  <c r="G8" i="9"/>
  <c r="Q14" i="9"/>
  <c r="Y15" i="13"/>
  <c r="E9" i="13"/>
  <c r="L10" i="2"/>
  <c r="N11" i="16" s="1"/>
  <c r="L11" i="6"/>
  <c r="R12" i="16" s="1"/>
  <c r="V16" i="13"/>
  <c r="N15" i="9"/>
  <c r="I10" i="16"/>
  <c r="C8" i="9"/>
  <c r="E9" i="9"/>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4"/>
  <c r="O16" i="16" s="1"/>
  <c r="M15" i="4"/>
  <c r="G15" i="4" s="1"/>
  <c r="G16" i="16" s="1"/>
  <c r="M8" i="8"/>
  <c r="G8" i="8" s="1"/>
  <c r="K9" i="16" s="1"/>
  <c r="L8" i="8"/>
  <c r="T9" i="16" s="1"/>
  <c r="U11" i="8"/>
  <c r="J11" i="8" s="1"/>
  <c r="U10" i="8"/>
  <c r="J10" i="8" s="1"/>
  <c r="L9" i="6"/>
  <c r="R10" i="16" s="1"/>
  <c r="M9" i="6"/>
  <c r="G9" i="6" s="1"/>
  <c r="M10" i="6"/>
  <c r="G10" i="6" s="1"/>
  <c r="L10" i="6"/>
  <c r="R11" i="16" s="1"/>
  <c r="L13" i="8" l="1"/>
  <c r="T14" i="16" s="1"/>
  <c r="U12" i="8"/>
  <c r="J12" i="8" s="1"/>
  <c r="L12" i="8" s="1"/>
  <c r="T13" i="16" s="1"/>
  <c r="M15" i="8"/>
  <c r="G15" i="8" s="1"/>
  <c r="K16" i="16" s="1"/>
  <c r="L15" i="8"/>
  <c r="T16" i="16" s="1"/>
  <c r="M14" i="8"/>
  <c r="G14" i="8" s="1"/>
  <c r="K15" i="16" s="1"/>
  <c r="L14" i="8"/>
  <c r="T15" i="16" s="1"/>
  <c r="I13" i="9"/>
  <c r="Q14" i="13"/>
  <c r="G12" i="9"/>
  <c r="L12" i="6"/>
  <c r="R13" i="16" s="1"/>
  <c r="M16" i="13"/>
  <c r="L15" i="6"/>
  <c r="R16" i="16" s="1"/>
  <c r="M11" i="7"/>
  <c r="X14" i="13"/>
  <c r="P13" i="9"/>
  <c r="Y14" i="13"/>
  <c r="Q13" i="9"/>
  <c r="X16" i="13"/>
  <c r="E14" i="16"/>
  <c r="E14" i="13"/>
  <c r="N30" i="2"/>
  <c r="L14" i="2"/>
  <c r="N15" i="16" s="1"/>
  <c r="L13" i="2"/>
  <c r="N14" i="16" s="1"/>
  <c r="C14" i="9"/>
  <c r="L10" i="7"/>
  <c r="S11" i="16" s="1"/>
  <c r="E15" i="13"/>
  <c r="S13" i="16"/>
  <c r="Q12" i="9"/>
  <c r="Y13" i="13"/>
  <c r="C13" i="9"/>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P10" i="9"/>
  <c r="X11" i="13"/>
  <c r="I8" i="9"/>
  <c r="Q9" i="13"/>
  <c r="R15" i="9"/>
  <c r="Z16" i="13"/>
  <c r="I9" i="9"/>
  <c r="Q10" i="13"/>
  <c r="Q11" i="9"/>
  <c r="Y12" i="13"/>
  <c r="D15" i="9"/>
  <c r="G16" i="13"/>
  <c r="M10" i="8"/>
  <c r="G10" i="8" s="1"/>
  <c r="K11" i="16" s="1"/>
  <c r="L10" i="8"/>
  <c r="T11" i="16" s="1"/>
  <c r="L11" i="8"/>
  <c r="T12" i="16" s="1"/>
  <c r="M11" i="8"/>
  <c r="G11" i="8" s="1"/>
  <c r="K12" i="16" s="1"/>
  <c r="R13" i="9" l="1"/>
  <c r="Z14" i="13"/>
  <c r="Z13" i="13"/>
  <c r="M12" i="8"/>
  <c r="G12" i="8" s="1"/>
  <c r="K13" i="16" s="1"/>
  <c r="R12" i="9"/>
  <c r="Z15" i="13"/>
  <c r="R14" i="9"/>
  <c r="Q16" i="13"/>
  <c r="I15" i="9"/>
  <c r="P12" i="9"/>
  <c r="X13" i="13"/>
  <c r="I14" i="9"/>
  <c r="Q15" i="13"/>
  <c r="P15" i="9"/>
  <c r="T15" i="13"/>
  <c r="Q10" i="9"/>
  <c r="L14" i="9"/>
  <c r="T14" i="13"/>
  <c r="L13" i="9"/>
  <c r="Y11" i="13"/>
  <c r="R9" i="9"/>
  <c r="Z10" i="13"/>
  <c r="R10" i="9"/>
  <c r="Z11" i="13"/>
  <c r="I11" i="9"/>
  <c r="Q12" i="13"/>
  <c r="I10" i="9"/>
  <c r="Q11" i="13"/>
  <c r="R11" i="9"/>
  <c r="Z12" i="13"/>
  <c r="Q13" i="13" l="1"/>
  <c r="I12" i="9"/>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<sst xmlns="http://schemas.openxmlformats.org/spreadsheetml/2006/main" count="654" uniqueCount="141">
  <si>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</si>
  <si>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</si>
  <si>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</si>
  <si>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</si>
  <si>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</si>
  <si>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</si>
  <si>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</si>
  <si>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</si>
  <si>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</si>
  <si>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</si>
  <si>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</si>
  <si>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</si>
  <si>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</si>
  <si>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</si>
  <si>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</si>
  <si>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</si>
  <si>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</si>
  <si>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</si>
  <si>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</si>
  <si>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</si>
  <si>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</si>
  <si>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</si>
  <si>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</si>
  <si>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</si>
  <si>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</si>
  <si>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</si>
  <si>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</si>
  <si>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</si>
  <si>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</si>
  <si>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</si>
  <si>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</si>
  <si>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</si>
  <si>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</si>
  <si>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</si>
  <si>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</si>
  <si>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</si>
  <si>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</si>
  <si>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</si>
  <si>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</si>
  <si>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</si>
  <si>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</si>
  <si>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</si>
  <si>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</si>
  <si>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</si>
  <si>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</si>
  <si>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</si>
  <si>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</si>
  <si>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</si>
  <si>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</si>
  <si>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</si>
  <si>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</si>
  <si>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</si>
  <si>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</si>
  <si>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</si>
  <si>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</si>
  <si>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</si>
  <si>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</si>
  <si>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</si>
  <si>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</si>
  <si>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</si>
  <si>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</si>
  <si>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</si>
  <si>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</si>
  <si>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</si>
  <si>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</si>
  <si>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</si>
  <si>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</si>
  <si>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</si>
  <si>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</si>
  <si>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</si>
  <si>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</si>
  <si>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</si>
  <si>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</si>
  <si>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</si>
  <si>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</si>
  <si>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</si>
  <si>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</si>
  <si>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</si>
  <si>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</si>
  <si>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</si>
  <si>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</si>
  <si>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</si>
  <si>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</si>
  <si>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</si>
  <si>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</si>
  <si>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</si>
  <si>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</si>
  <si>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</si>
  <si>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</si>
  <si>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</si>
  <si>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</si>
  <si>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</si>
  <si>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</si>
  <si>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</si>
  <si>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</si>
  <si>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</si>
  <si>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</si>
  <si>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</si>
  <si>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</si>
  <si>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</si>
  <si>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</si>
  <si>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</si>
  <si>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</si>
  <si>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</si>
  <si>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</si>
  <si>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</si>
  <si>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</si>
  <si>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</si>
  <si>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</si>
  <si>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</si>
  <si>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</si>
  <si>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</si>
  <si>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</si>
  <si>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</si>
  <si>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</si>
  <si>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</si>
  <si>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</si>
  <si>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</si>
  <si>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</si>
  <si>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</si>
  <si>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</si>
  <si>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</si>
  <si>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</si>
  <si>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</si>
  <si>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</si>
  <si>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</si>
  <si>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</si>
  <si>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</si>
  <si>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</si>
  <si>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</si>
  <si>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</si>
  <si>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</si>
  <si>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</si>
  <si>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</si>
  <si>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</si>
  <si>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</si>
  <si>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Calhoun</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</si>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</sst>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Calhoun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N=109</c:v>
                </c:pt>
                <c:pt idx="2">
                  <c:v>Delinquent Findings, total N=107</c:v>
                </c:pt>
                <c:pt idx="3">
                  <c:v>Petitions, total N=284</c:v>
                </c:pt>
                <c:pt idx="4">
                  <c:v>Detentions, total N=143</c:v>
                </c:pt>
                <c:pt idx="5">
                  <c:v>Referrals, total N=344</c:v>
                </c:pt>
                <c:pt idx="6">
                  <c:v>Arrests, total N=23</c:v>
                </c:pt>
                <c:pt idx="7">
                  <c:v>Population, total N=13841</c:v>
                </c:pt>
              </c:strCache>
            </c:strRef>
          </c:cat>
          <c:val>
            <c:numRef>
              <c:f>'Stacked 100%'!$B$7:$B$14</c:f>
              <c:numCache>
                <c:formatCode>0%</c:formatCode>
                <c:ptCount val="8"/>
                <c:pt idx="0">
                  <c:v>0</c:v>
                </c:pt>
                <c:pt idx="1">
                  <c:v>0.47706422018348627</c:v>
                </c:pt>
                <c:pt idx="2">
                  <c:v>0.37383177570093457</c:v>
                </c:pt>
                <c:pt idx="3">
                  <c:v>0.37323943661971831</c:v>
                </c:pt>
                <c:pt idx="4">
                  <c:v>0.4825174825174825</c:v>
                </c:pt>
                <c:pt idx="5">
                  <c:v>0.38662790697674421</c:v>
                </c:pt>
                <c:pt idx="6">
                  <c:v>0.34782608695652173</c:v>
                </c:pt>
                <c:pt idx="7">
                  <c:v>0.1695686727837584</c:v>
                </c:pt>
              </c:numCache>
            </c:numRef>
          </c:val>
          <c:extLst>
            <c:ext xmlns:c16="http://schemas.microsoft.com/office/drawing/2014/chart" uri="{C3380CC4-5D6E-409C-BE32-E72D297353CC}">
              <c16:uniqueId val="{00000000-D7FA-4275-B636-2D7864147E92}"/>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N=109</c:v>
                </c:pt>
                <c:pt idx="2">
                  <c:v>Delinquent Findings, total N=107</c:v>
                </c:pt>
                <c:pt idx="3">
                  <c:v>Petitions, total N=284</c:v>
                </c:pt>
                <c:pt idx="4">
                  <c:v>Detentions, total N=143</c:v>
                </c:pt>
                <c:pt idx="5">
                  <c:v>Referrals, total N=344</c:v>
                </c:pt>
                <c:pt idx="6">
                  <c:v>Arrests, total N=23</c:v>
                </c:pt>
                <c:pt idx="7">
                  <c:v>Population, total N=13841</c:v>
                </c:pt>
              </c:strCache>
            </c:strRef>
          </c:cat>
          <c:val>
            <c:numRef>
              <c:f>'Stacked 100%'!$C$7:$C$14</c:f>
              <c:numCache>
                <c:formatCode>0%</c:formatCode>
                <c:ptCount val="8"/>
                <c:pt idx="0">
                  <c:v>0</c:v>
                </c:pt>
                <c:pt idx="1">
                  <c:v>1.834862385321101E-2</c:v>
                </c:pt>
                <c:pt idx="2">
                  <c:v>1.8691588785046728E-2</c:v>
                </c:pt>
                <c:pt idx="3">
                  <c:v>1.4084507042253521E-2</c:v>
                </c:pt>
                <c:pt idx="4">
                  <c:v>2.097902097902098E-2</c:v>
                </c:pt>
                <c:pt idx="5">
                  <c:v>1.1627906976744186E-2</c:v>
                </c:pt>
                <c:pt idx="6">
                  <c:v>0</c:v>
                </c:pt>
                <c:pt idx="7">
                  <c:v>8.6771187052958595E-2</c:v>
                </c:pt>
              </c:numCache>
            </c:numRef>
          </c:val>
          <c:extLst>
            <c:ext xmlns:c16="http://schemas.microsoft.com/office/drawing/2014/chart" uri="{C3380CC4-5D6E-409C-BE32-E72D297353CC}">
              <c16:uniqueId val="{00000001-D7FA-4275-B636-2D7864147E92}"/>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N=109</c:v>
                </c:pt>
                <c:pt idx="2">
                  <c:v>Delinquent Findings, total N=107</c:v>
                </c:pt>
                <c:pt idx="3">
                  <c:v>Petitions, total N=284</c:v>
                </c:pt>
                <c:pt idx="4">
                  <c:v>Detentions, total N=143</c:v>
                </c:pt>
                <c:pt idx="5">
                  <c:v>Referrals, total N=344</c:v>
                </c:pt>
                <c:pt idx="6">
                  <c:v>Arrests, total N=23</c:v>
                </c:pt>
                <c:pt idx="7">
                  <c:v>Population, total N=13841</c:v>
                </c:pt>
              </c:strCache>
            </c:strRef>
          </c:cat>
          <c:val>
            <c:numRef>
              <c:f>'Stacked 100%'!$H$7:$H$14</c:f>
              <c:numCache>
                <c:formatCode>0%</c:formatCode>
                <c:ptCount val="8"/>
                <c:pt idx="0">
                  <c:v>0</c:v>
                </c:pt>
                <c:pt idx="1">
                  <c:v>9.258479925932161E-4</c:v>
                </c:pt>
                <c:pt idx="2">
                  <c:v>1.1354703467551751E-3</c:v>
                </c:pt>
                <c:pt idx="3">
                  <c:v>3.0995834159888908E-4</c:v>
                </c:pt>
                <c:pt idx="4">
                  <c:v>8.3133649567216001E-4</c:v>
                </c:pt>
                <c:pt idx="5">
                  <c:v>2.7041644131963225E-4</c:v>
                </c:pt>
                <c:pt idx="6">
                  <c:v>0</c:v>
                </c:pt>
                <c:pt idx="7">
                  <c:v>2.6778264553500029E-6</c:v>
                </c:pt>
              </c:numCache>
            </c:numRef>
          </c:val>
          <c:extLst>
            <c:ext xmlns:c16="http://schemas.microsoft.com/office/drawing/2014/chart" uri="{C3380CC4-5D6E-409C-BE32-E72D297353CC}">
              <c16:uniqueId val="{00000002-D7FA-4275-B636-2D7864147E92}"/>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N=109</c:v>
                </c:pt>
                <c:pt idx="2">
                  <c:v>Delinquent Findings, total N=107</c:v>
                </c:pt>
                <c:pt idx="3">
                  <c:v>Petitions, total N=284</c:v>
                </c:pt>
                <c:pt idx="4">
                  <c:v>Detentions, total N=143</c:v>
                </c:pt>
                <c:pt idx="5">
                  <c:v>Referrals, total N=344</c:v>
                </c:pt>
                <c:pt idx="6">
                  <c:v>Arrests, total N=23</c:v>
                </c:pt>
                <c:pt idx="7">
                  <c:v>Population, total N=13841</c:v>
                </c:pt>
              </c:strCache>
            </c:strRef>
          </c:cat>
          <c:val>
            <c:numRef>
              <c:f>'Stacked 100%'!$I$7:$I$14</c:f>
              <c:numCache>
                <c:formatCode>0%</c:formatCode>
                <c:ptCount val="8"/>
                <c:pt idx="0">
                  <c:v>0</c:v>
                </c:pt>
                <c:pt idx="1">
                  <c:v>0.37614678899082571</c:v>
                </c:pt>
                <c:pt idx="2">
                  <c:v>0.45794392523364486</c:v>
                </c:pt>
                <c:pt idx="3">
                  <c:v>0.47535211267605632</c:v>
                </c:pt>
                <c:pt idx="4">
                  <c:v>0.34965034965034963</c:v>
                </c:pt>
                <c:pt idx="5">
                  <c:v>0.46220930232558138</c:v>
                </c:pt>
                <c:pt idx="6">
                  <c:v>0.65217391304347827</c:v>
                </c:pt>
                <c:pt idx="7">
                  <c:v>0.70659634419478357</c:v>
                </c:pt>
              </c:numCache>
            </c:numRef>
          </c:val>
          <c:extLst>
            <c:ext xmlns:c16="http://schemas.microsoft.com/office/drawing/2014/chart" uri="{C3380CC4-5D6E-409C-BE32-E72D297353CC}">
              <c16:uniqueId val="{00000003-D7FA-4275-B636-2D7864147E92}"/>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N=109</c:v>
                </c:pt>
                <c:pt idx="2">
                  <c:v>Delinquent Findings, total N=107</c:v>
                </c:pt>
                <c:pt idx="3">
                  <c:v>Petitions, total N=284</c:v>
                </c:pt>
                <c:pt idx="4">
                  <c:v>Detentions, total N=143</c:v>
                </c:pt>
                <c:pt idx="5">
                  <c:v>Referrals, total N=344</c:v>
                </c:pt>
                <c:pt idx="6">
                  <c:v>Arrests, total N=23</c:v>
                </c:pt>
                <c:pt idx="7">
                  <c:v>Population, total N=13841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D7FA-4275-B636-2D7864147E92}"/>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13841</v>
      </c>
      <c r="C6" s="11">
        <v>9780</v>
      </c>
      <c r="D6" s="11">
        <v>2347</v>
      </c>
      <c r="E6" s="11">
        <v>1201</v>
      </c>
      <c r="F6" s="11">
        <v>402</v>
      </c>
      <c r="G6" s="11"/>
      <c r="H6" s="11">
        <v>111</v>
      </c>
      <c r="I6" s="11"/>
      <c r="J6" s="91">
        <f>SUM(D6:I6)</f>
        <v>4061</v>
      </c>
      <c r="K6" s="92"/>
    </row>
    <row r="7" spans="1:11" ht="15.75" customHeight="1" thickBot="1">
      <c r="A7" s="10" t="s">
        <v>8</v>
      </c>
      <c r="B7" s="11">
        <f t="shared" ref="B7:B15" si="0">SUM(C7:I7)+K7</f>
        <v>23</v>
      </c>
      <c r="C7" s="11">
        <v>15</v>
      </c>
      <c r="D7" s="11">
        <v>8</v>
      </c>
      <c r="E7" s="11"/>
      <c r="F7" s="11"/>
      <c r="G7" s="11"/>
      <c r="H7" s="11"/>
      <c r="I7" s="11"/>
      <c r="J7" s="91">
        <f t="shared" ref="J7:J15" si="1">SUM(D7:I7)</f>
        <v>8</v>
      </c>
      <c r="K7" s="92"/>
    </row>
    <row r="8" spans="1:11" ht="15.75" customHeight="1" thickBot="1">
      <c r="A8" s="10" t="s">
        <v>9</v>
      </c>
      <c r="B8" s="11">
        <f t="shared" si="0"/>
        <v>344</v>
      </c>
      <c r="C8" s="11">
        <v>159</v>
      </c>
      <c r="D8" s="11">
        <v>133</v>
      </c>
      <c r="E8" s="11">
        <v>4</v>
      </c>
      <c r="F8" s="11">
        <v>1</v>
      </c>
      <c r="G8" s="11"/>
      <c r="H8" s="11"/>
      <c r="I8" s="11">
        <v>31</v>
      </c>
      <c r="J8" s="91">
        <f t="shared" si="1"/>
        <v>169</v>
      </c>
      <c r="K8" s="92">
        <v>16</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143</v>
      </c>
      <c r="C10" s="11">
        <v>50</v>
      </c>
      <c r="D10" s="11">
        <v>69</v>
      </c>
      <c r="E10" s="11">
        <v>3</v>
      </c>
      <c r="F10" s="11"/>
      <c r="G10" s="11"/>
      <c r="H10" s="11"/>
      <c r="I10" s="11">
        <v>17</v>
      </c>
      <c r="J10" s="91">
        <f t="shared" si="1"/>
        <v>89</v>
      </c>
      <c r="K10" s="92">
        <v>4</v>
      </c>
    </row>
    <row r="11" spans="1:11" ht="15.75" customHeight="1" thickBot="1">
      <c r="A11" s="10" t="s">
        <v>12</v>
      </c>
      <c r="B11" s="11">
        <f t="shared" si="0"/>
        <v>284</v>
      </c>
      <c r="C11" s="11">
        <v>135</v>
      </c>
      <c r="D11" s="11">
        <v>106</v>
      </c>
      <c r="E11" s="11">
        <v>4</v>
      </c>
      <c r="F11" s="11">
        <v>1</v>
      </c>
      <c r="G11" s="11"/>
      <c r="H11" s="11"/>
      <c r="I11" s="11">
        <v>24</v>
      </c>
      <c r="J11" s="91">
        <f t="shared" si="1"/>
        <v>135</v>
      </c>
      <c r="K11" s="92">
        <v>14</v>
      </c>
    </row>
    <row r="12" spans="1:11" ht="15.75" customHeight="1" thickBot="1">
      <c r="A12" s="10" t="s">
        <v>13</v>
      </c>
      <c r="B12" s="11">
        <f t="shared" si="0"/>
        <v>107</v>
      </c>
      <c r="C12" s="11">
        <v>49</v>
      </c>
      <c r="D12" s="11">
        <v>40</v>
      </c>
      <c r="E12" s="11">
        <v>2</v>
      </c>
      <c r="F12" s="11">
        <v>1</v>
      </c>
      <c r="G12" s="11"/>
      <c r="H12" s="11"/>
      <c r="I12" s="11">
        <v>12</v>
      </c>
      <c r="J12" s="91">
        <f t="shared" si="1"/>
        <v>55</v>
      </c>
      <c r="K12" s="92">
        <v>3</v>
      </c>
    </row>
    <row r="13" spans="1:11" ht="15.75" customHeight="1" thickBot="1">
      <c r="A13" s="10" t="s">
        <v>133</v>
      </c>
      <c r="B13" s="11">
        <f t="shared" si="0"/>
        <v>117</v>
      </c>
      <c r="C13" s="11">
        <v>54</v>
      </c>
      <c r="D13" s="11">
        <v>43</v>
      </c>
      <c r="E13" s="11">
        <v>2</v>
      </c>
      <c r="F13" s="11">
        <v>1</v>
      </c>
      <c r="G13" s="11"/>
      <c r="H13" s="11"/>
      <c r="I13" s="11">
        <v>14</v>
      </c>
      <c r="J13" s="91">
        <f t="shared" si="1"/>
        <v>60</v>
      </c>
      <c r="K13" s="92">
        <v>3</v>
      </c>
    </row>
    <row r="14" spans="1:11" ht="26.25" customHeight="1" thickBot="1">
      <c r="A14" s="10" t="s">
        <v>123</v>
      </c>
      <c r="B14" s="11">
        <f t="shared" si="0"/>
        <v>109</v>
      </c>
      <c r="C14" s="11">
        <v>41</v>
      </c>
      <c r="D14" s="11">
        <v>52</v>
      </c>
      <c r="E14" s="11">
        <v>2</v>
      </c>
      <c r="F14" s="11"/>
      <c r="G14" s="11"/>
      <c r="H14" s="11"/>
      <c r="I14" s="11">
        <v>11</v>
      </c>
      <c r="J14" s="91">
        <f t="shared" si="1"/>
        <v>65</v>
      </c>
      <c r="K14" s="92">
        <v>3</v>
      </c>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Calhoun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9780</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1.5337423312883436</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15</v>
      </c>
      <c r="Q7" s="42">
        <f>C6-C7</f>
        <v>9765</v>
      </c>
      <c r="R7" s="42">
        <f t="shared" ref="R7:R15" si="5">SUM(N7:Q7)</f>
        <v>9780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159</v>
      </c>
      <c r="D8" s="34">
        <f>IF((AND(C67&gt;0,C8&gt;0)),(C8/C67),0)</f>
        <v>1060</v>
      </c>
      <c r="E8" s="33">
        <f>'Data Entry'!I8</f>
        <v>31</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31</v>
      </c>
      <c r="O8" s="42">
        <f>((D67*L67)-E8)+0.05</f>
        <v>-30.95</v>
      </c>
      <c r="P8" s="42">
        <f t="shared" si="4"/>
        <v>159</v>
      </c>
      <c r="Q8" s="42">
        <f>(C$67*L67)-C8</f>
        <v>-144</v>
      </c>
      <c r="R8" s="42">
        <f t="shared" si="5"/>
        <v>15.050000000000011</v>
      </c>
      <c r="S8" s="30">
        <f t="shared" si="6"/>
        <v>3143865.2726250049</v>
      </c>
      <c r="T8" s="30">
        <f t="shared" si="7"/>
        <v>-24930.375000000353</v>
      </c>
      <c r="U8" s="31">
        <f t="shared" si="8"/>
        <v>-126.10581560144846</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31</v>
      </c>
      <c r="P9" s="42">
        <f t="shared" si="4"/>
        <v>0</v>
      </c>
      <c r="Q9" s="42">
        <f>(C$68*L68)-C9</f>
        <v>159</v>
      </c>
      <c r="R9" s="42">
        <f t="shared" si="5"/>
        <v>190</v>
      </c>
      <c r="S9" s="30">
        <f t="shared" si="6"/>
        <v>0</v>
      </c>
      <c r="T9" s="30">
        <f t="shared" si="7"/>
        <v>0</v>
      </c>
      <c r="U9" s="31" t="str">
        <f t="shared" si="8"/>
        <v>- -</v>
      </c>
    </row>
    <row r="10" spans="2:21" ht="18" customHeight="1">
      <c r="B10" s="32" t="str">
        <f>'Data Entry'!A10</f>
        <v>5. Cases Involving Secure Detention</v>
      </c>
      <c r="C10" s="33">
        <f>'Data Entry'!C10</f>
        <v>50</v>
      </c>
      <c r="D10" s="34">
        <f>IF(((AND(C68&gt;0,C10&gt;0))),(C10/(C68)),0)</f>
        <v>31.446540880503143</v>
      </c>
      <c r="E10" s="33">
        <f>'Data Entry'!I10</f>
        <v>17</v>
      </c>
      <c r="F10" s="34">
        <f>IF(((AND($E$10&gt;0,$D$68&gt;0))),($E$10/($D$68)),0)</f>
        <v>54.838709677419352</v>
      </c>
      <c r="G10" s="39" t="str">
        <f t="shared" si="0"/>
        <v>*</v>
      </c>
      <c r="H10" s="40"/>
      <c r="I10" s="41"/>
      <c r="J10" s="40">
        <f>IF((ABS($U10)&gt;Defaults!D$7),1,2)</f>
        <v>1</v>
      </c>
      <c r="K10" s="39">
        <f>IF((AND(N10&gt;Defaults!B$12,(N10+O10)&gt;Defaults!B$13, P10 &gt; Defaults!B$12, (P10+Q10) &gt; Defaults!B$13)),1,20)</f>
        <v>1</v>
      </c>
      <c r="L10" s="1">
        <f t="shared" si="1"/>
        <v>100</v>
      </c>
      <c r="M10" s="1" t="b">
        <f t="shared" si="2"/>
        <v>1</v>
      </c>
      <c r="N10" s="42">
        <f t="shared" si="3"/>
        <v>17</v>
      </c>
      <c r="O10" s="42">
        <f>(D$68*L68)-E10</f>
        <v>14</v>
      </c>
      <c r="P10" s="42">
        <f t="shared" si="4"/>
        <v>50</v>
      </c>
      <c r="Q10" s="42">
        <f>(C$68*L68)-C10</f>
        <v>109</v>
      </c>
      <c r="R10" s="42">
        <f t="shared" si="5"/>
        <v>190</v>
      </c>
      <c r="S10" s="30">
        <f t="shared" si="6"/>
        <v>252587710</v>
      </c>
      <c r="T10" s="30">
        <f t="shared" si="7"/>
        <v>40619889</v>
      </c>
      <c r="U10" s="31">
        <f t="shared" si="8"/>
        <v>6.218325953574122</v>
      </c>
    </row>
    <row r="11" spans="2:21" ht="18" customHeight="1">
      <c r="B11" s="32" t="str">
        <f>'Data Entry'!A11</f>
        <v>6. Cases Petitioned (Charge Filed)</v>
      </c>
      <c r="C11" s="33">
        <f>'Data Entry'!C11</f>
        <v>135</v>
      </c>
      <c r="D11" s="34">
        <f>IF(((AND(C68&gt;0,C11&gt;0))),(C11/(C68)),0)</f>
        <v>84.905660377358487</v>
      </c>
      <c r="E11" s="33">
        <f>'Data Entry'!I11</f>
        <v>24</v>
      </c>
      <c r="F11" s="34">
        <f>IF(((AND($E$11&gt;0,$D$68&gt;0))),($E$11/($D$68)),0)</f>
        <v>77.41935483870968</v>
      </c>
      <c r="G11" s="39" t="str">
        <f t="shared" si="0"/>
        <v>*</v>
      </c>
      <c r="H11" s="40"/>
      <c r="I11" s="41"/>
      <c r="J11" s="40">
        <f>IF((ABS($U11)&gt;Defaults!D$7),1,2)</f>
        <v>2</v>
      </c>
      <c r="K11" s="39">
        <f>IF((AND(N11&gt;Defaults!B$12,(N11+O11)&gt;Defaults!B$13, P11 &gt; Defaults!B$12, (P11+Q11) &gt; Defaults!B$13)),1,20)</f>
        <v>1</v>
      </c>
      <c r="L11" s="1">
        <f t="shared" si="1"/>
        <v>101</v>
      </c>
      <c r="M11" s="1" t="b">
        <f t="shared" si="2"/>
        <v>1</v>
      </c>
      <c r="N11" s="42">
        <f t="shared" si="3"/>
        <v>24</v>
      </c>
      <c r="O11" s="42">
        <f>(D$68*L68)-E11</f>
        <v>7</v>
      </c>
      <c r="P11" s="42">
        <f t="shared" si="4"/>
        <v>135</v>
      </c>
      <c r="Q11" s="42">
        <f>(C$68*L68)-C11</f>
        <v>24</v>
      </c>
      <c r="R11" s="42">
        <f t="shared" si="5"/>
        <v>190</v>
      </c>
      <c r="S11" s="30">
        <f t="shared" si="6"/>
        <v>25870590</v>
      </c>
      <c r="T11" s="30">
        <f t="shared" si="7"/>
        <v>24295041</v>
      </c>
      <c r="U11" s="31">
        <f t="shared" si="8"/>
        <v>1.064850641742074</v>
      </c>
    </row>
    <row r="12" spans="2:21" ht="18" customHeight="1">
      <c r="B12" s="32" t="str">
        <f>'Data Entry'!A12</f>
        <v>7. Cases Resulting in Delinquent Findings</v>
      </c>
      <c r="C12" s="33">
        <f>'Data Entry'!C12</f>
        <v>49</v>
      </c>
      <c r="D12" s="34">
        <f>IF(((AND(C69&gt;0,C12&gt;0))),(C12/(C69)),0)</f>
        <v>36.296296296296291</v>
      </c>
      <c r="E12" s="33">
        <f>'Data Entry'!I12</f>
        <v>12</v>
      </c>
      <c r="F12" s="34">
        <f>IF(((AND($D$69&gt;0,$E$12&gt;0))),(E12/(D69)),0)</f>
        <v>50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12</v>
      </c>
      <c r="O12" s="42">
        <f>(D69*L69)-E12</f>
        <v>12</v>
      </c>
      <c r="P12" s="42">
        <f t="shared" si="4"/>
        <v>49</v>
      </c>
      <c r="Q12" s="42">
        <f>(C69*L69)-C12</f>
        <v>86</v>
      </c>
      <c r="R12" s="42">
        <f t="shared" si="5"/>
        <v>159</v>
      </c>
      <c r="S12" s="30">
        <f t="shared" si="6"/>
        <v>31344624</v>
      </c>
      <c r="T12" s="30">
        <f t="shared" si="7"/>
        <v>19368720</v>
      </c>
      <c r="U12" s="31">
        <f t="shared" si="8"/>
        <v>1.6183115869298539</v>
      </c>
    </row>
    <row r="13" spans="2:21" ht="18" customHeight="1">
      <c r="B13" s="32" t="str">
        <f>'Data Entry'!A13</f>
        <v>8. Cases Resulting in Probation Placement</v>
      </c>
      <c r="C13" s="33">
        <f>'Data Entry'!C13</f>
        <v>54</v>
      </c>
      <c r="D13" s="34">
        <f>IF(((AND(C70&gt;0,C13&gt;0))),(C13/(C70)),0)</f>
        <v>110.20408163265306</v>
      </c>
      <c r="E13" s="33">
        <f>'Data Entry'!I13</f>
        <v>14</v>
      </c>
      <c r="F13" s="34">
        <f>IF(((AND($D$70&gt;0,$E$13&gt;0))),($E$13/($D$70)),0)</f>
        <v>116.66666666666667</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14</v>
      </c>
      <c r="O13" s="42">
        <f>(D70*L70)-E13</f>
        <v>-2</v>
      </c>
      <c r="P13" s="42">
        <f t="shared" si="4"/>
        <v>54</v>
      </c>
      <c r="Q13" s="42">
        <f>(C70*L70)-C13</f>
        <v>-5</v>
      </c>
      <c r="R13" s="42">
        <f t="shared" si="5"/>
        <v>61</v>
      </c>
      <c r="S13" s="30">
        <f t="shared" si="6"/>
        <v>88084</v>
      </c>
      <c r="T13" s="30">
        <f t="shared" si="7"/>
        <v>-279888</v>
      </c>
      <c r="U13" s="31">
        <f t="shared" si="8"/>
        <v>-0.31471159892528439</v>
      </c>
    </row>
    <row r="14" spans="2:21" ht="30.75" customHeight="1">
      <c r="B14" s="32" t="str">
        <f>'Data Entry'!A14</f>
        <v xml:space="preserve">9. Cases Resulting in Confinement in Secure Juvenile Correctional Facilities </v>
      </c>
      <c r="C14" s="33">
        <f>'Data Entry'!C14</f>
        <v>41</v>
      </c>
      <c r="D14" s="34">
        <f>IF(((AND(C70&gt;0,C14&gt;0))), ((C14/(C70))),0)</f>
        <v>83.673469387755105</v>
      </c>
      <c r="E14" s="33">
        <f>'Data Entry'!I14</f>
        <v>11</v>
      </c>
      <c r="F14" s="34">
        <f>IF(((AND($D$70&gt;0,$E$14&gt;0))), (($E$14/($D$70))),0)</f>
        <v>91.666666666666671</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11</v>
      </c>
      <c r="O14" s="42">
        <f>(D70*L70)-E14</f>
        <v>1</v>
      </c>
      <c r="P14" s="42">
        <f t="shared" si="4"/>
        <v>41</v>
      </c>
      <c r="Q14" s="42">
        <f>(C70*L70)-C14</f>
        <v>8</v>
      </c>
      <c r="R14" s="42">
        <f t="shared" si="5"/>
        <v>61</v>
      </c>
      <c r="S14" s="30">
        <f t="shared" si="6"/>
        <v>134749</v>
      </c>
      <c r="T14" s="30">
        <f t="shared" si="7"/>
        <v>275184</v>
      </c>
      <c r="U14" s="31">
        <f t="shared" si="8"/>
        <v>0.48966873074015932</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24</v>
      </c>
      <c r="P15" s="42">
        <f t="shared" si="4"/>
        <v>0</v>
      </c>
      <c r="Q15" s="42">
        <f>(C69*L69)-C15</f>
        <v>135</v>
      </c>
      <c r="R15" s="42">
        <f t="shared" si="5"/>
        <v>159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9.7799999999999994</v>
      </c>
      <c r="D42" s="56">
        <f>E6/1000</f>
        <v>0</v>
      </c>
      <c r="E42" s="56">
        <f>MAX(C42:D42)</f>
        <v>9.7799999999999994</v>
      </c>
      <c r="G42" s="1" t="str">
        <f>B42</f>
        <v>per 1000 youth</v>
      </c>
      <c r="L42" s="57">
        <v>1000</v>
      </c>
      <c r="M42" s="57"/>
      <c r="R42" s="49"/>
    </row>
    <row r="43" spans="2:18" ht="15" hidden="1" customHeight="1">
      <c r="B43" s="49" t="s">
        <v>87</v>
      </c>
      <c r="C43" s="56">
        <f>C7/100</f>
        <v>0.15</v>
      </c>
      <c r="D43" s="56">
        <f>E7/100</f>
        <v>0</v>
      </c>
      <c r="E43" s="56">
        <f>MAX(C43:D43,0)</f>
        <v>0.15</v>
      </c>
      <c r="G43" s="1" t="str">
        <f>B43</f>
        <v>per 100 arrests</v>
      </c>
      <c r="L43" s="57">
        <v>100</v>
      </c>
      <c r="M43" s="57"/>
      <c r="R43" s="49"/>
    </row>
    <row r="44" spans="2:18" ht="15" hidden="1" customHeight="1">
      <c r="B44" s="49" t="s">
        <v>88</v>
      </c>
      <c r="C44" s="56">
        <f>C8/100</f>
        <v>1.59</v>
      </c>
      <c r="D44" s="56">
        <f>E8/100</f>
        <v>0.31</v>
      </c>
      <c r="E44" s="56">
        <f>MAX(C44:D44,0)</f>
        <v>1.59</v>
      </c>
      <c r="G44" s="1" t="str">
        <f>B44</f>
        <v>per 100 referrals</v>
      </c>
      <c r="L44" s="57">
        <v>100</v>
      </c>
      <c r="M44" s="57"/>
      <c r="R44" s="49"/>
    </row>
    <row r="45" spans="2:18" ht="15" hidden="1" customHeight="1">
      <c r="B45" s="49" t="s">
        <v>89</v>
      </c>
      <c r="C45" s="49">
        <f>C11/100</f>
        <v>1.35</v>
      </c>
      <c r="D45" s="49">
        <f>E11/100</f>
        <v>0.24</v>
      </c>
      <c r="E45" s="56">
        <f>MAX(C45:D45,0)</f>
        <v>1.35</v>
      </c>
      <c r="G45" s="1" t="str">
        <f>B45</f>
        <v>per 100 youth petitioned</v>
      </c>
      <c r="L45" s="57">
        <v>100</v>
      </c>
      <c r="M45" s="57"/>
      <c r="R45" s="49"/>
    </row>
    <row r="46" spans="2:18" ht="15" hidden="1" customHeight="1">
      <c r="B46" s="49" t="s">
        <v>90</v>
      </c>
      <c r="C46" s="49">
        <f>C12/100</f>
        <v>0.49</v>
      </c>
      <c r="D46" s="49">
        <f>E12/100</f>
        <v>0.12</v>
      </c>
      <c r="E46" s="56">
        <f>MAX(C46:D46)</f>
        <v>0.49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9.7799999999999994</v>
      </c>
      <c r="D48" s="56">
        <f>D42</f>
        <v>0</v>
      </c>
      <c r="E48" s="56">
        <f>MAX(C48:D48)</f>
        <v>9.7799999999999994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0.15</v>
      </c>
      <c r="D49" s="49">
        <f t="shared" si="9"/>
        <v>0</v>
      </c>
      <c r="E49" s="49">
        <f>MAX(C49:D49)</f>
        <v>0.15</v>
      </c>
      <c r="G49" s="1" t="str">
        <f>G43</f>
        <v>per 100 arrests</v>
      </c>
      <c r="L49" s="58">
        <f>IF(($E43&gt;0),L43,L42)</f>
        <v>100</v>
      </c>
      <c r="M49" s="58"/>
      <c r="N49" s="21"/>
      <c r="O49" s="21"/>
      <c r="P49" s="21"/>
      <c r="Q49" s="21"/>
      <c r="R49" s="21"/>
    </row>
    <row r="50" spans="2:18" ht="15" hidden="1" customHeight="1">
      <c r="B50" s="49" t="str">
        <f t="shared" si="9"/>
        <v>per 100 referrals</v>
      </c>
      <c r="C50" s="49">
        <f t="shared" si="9"/>
        <v>1.59</v>
      </c>
      <c r="D50" s="49">
        <f t="shared" si="9"/>
        <v>0.31</v>
      </c>
      <c r="E50" s="49">
        <f>MAX(C50:D50)</f>
        <v>1.59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1.35</v>
      </c>
      <c r="D51" s="49">
        <f>IF(($E45&gt;0),D45,D44)</f>
        <v>0.24</v>
      </c>
      <c r="E51" s="49">
        <f>MAX(C51:D51)</f>
        <v>1.35</v>
      </c>
      <c r="G51" s="1" t="str">
        <f>G45</f>
        <v>per 100 youth petitioned</v>
      </c>
      <c r="L51" s="58">
        <f>IF(($E45&gt;0),L45,L44)</f>
        <v>100</v>
      </c>
      <c r="M51" s="58"/>
    </row>
    <row r="52" spans="2:18" ht="15" hidden="1" customHeight="1">
      <c r="B52" s="49" t="str">
        <f>IF(($E46&gt;0),B46,B45)</f>
        <v>per 100 youth found delinquent</v>
      </c>
      <c r="C52" s="49">
        <f>IF(($E46&gt;0),C46,C45)</f>
        <v>0.49</v>
      </c>
      <c r="D52" s="49">
        <f>IF(($E46&gt;0),D46,D45)</f>
        <v>0.12</v>
      </c>
      <c r="E52" s="56">
        <f>MAX(C52:D52)</f>
        <v>0.49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9.7799999999999994</v>
      </c>
      <c r="D54" s="56">
        <f>D48</f>
        <v>0</v>
      </c>
      <c r="E54" s="56">
        <f>MAX(C54:D54)</f>
        <v>9.7799999999999994</v>
      </c>
      <c r="G54" s="1" t="str">
        <f>G48</f>
        <v>per 1000 youth</v>
      </c>
      <c r="L54" s="58">
        <f>L48</f>
        <v>1000</v>
      </c>
      <c r="M54" s="58"/>
    </row>
    <row r="55" spans="2:18" ht="15" hidden="1" customHeight="1">
      <c r="B55" s="49" t="str">
        <f t="shared" ref="B55:D56" si="10">IF(($E49&gt;0),B49,B48)</f>
        <v>per 100 arrests</v>
      </c>
      <c r="C55" s="49">
        <f t="shared" si="10"/>
        <v>0.15</v>
      </c>
      <c r="D55" s="49">
        <f t="shared" si="10"/>
        <v>0</v>
      </c>
      <c r="E55" s="49">
        <f>MAX(C55:D55)</f>
        <v>0.15</v>
      </c>
      <c r="G55" s="1" t="str">
        <f>G49</f>
        <v>per 100 arrests</v>
      </c>
      <c r="L55" s="58">
        <f>IF(($E49&gt;0),L49,L48)</f>
        <v>100</v>
      </c>
      <c r="M55" s="58"/>
    </row>
    <row r="56" spans="2:18" ht="15" hidden="1" customHeight="1">
      <c r="B56" s="49" t="str">
        <f t="shared" si="10"/>
        <v>per 100 referrals</v>
      </c>
      <c r="C56" s="49">
        <f t="shared" si="10"/>
        <v>1.59</v>
      </c>
      <c r="D56" s="49">
        <f t="shared" si="10"/>
        <v>0.31</v>
      </c>
      <c r="E56" s="49">
        <f>MAX(C56:D56)</f>
        <v>1.59</v>
      </c>
      <c r="G56" s="1" t="str">
        <f>G50</f>
        <v>per 100 referrals</v>
      </c>
      <c r="L56" s="58">
        <f>IF(($E50&gt;0),L50,L49)</f>
        <v>100</v>
      </c>
      <c r="M56" s="58"/>
    </row>
    <row r="57" spans="2:18" ht="15" hidden="1" customHeight="1">
      <c r="B57" s="49" t="str">
        <f>IF(($E51&gt;0),B51,B49)</f>
        <v>per 100 youth petitioned</v>
      </c>
      <c r="C57" s="49">
        <f>IF(($E51&gt;0),C51,C50)</f>
        <v>1.35</v>
      </c>
      <c r="D57" s="49">
        <f>IF(($E51&gt;0),D51,D50)</f>
        <v>0.24</v>
      </c>
      <c r="E57" s="49">
        <f>MAX(C57:D57)</f>
        <v>1.35</v>
      </c>
      <c r="G57" s="1" t="str">
        <f>G51</f>
        <v>per 100 youth petitioned</v>
      </c>
      <c r="L57" s="58">
        <f>IF(($E51&gt;0),L51,L50)</f>
        <v>100</v>
      </c>
      <c r="M57" s="58"/>
    </row>
    <row r="58" spans="2:18" ht="15" hidden="1" customHeight="1">
      <c r="B58" s="49" t="str">
        <f>IF(($E52&gt;0),B52,B51)</f>
        <v>per 100 youth found delinquent</v>
      </c>
      <c r="C58" s="49">
        <f>IF(($E52&gt;0),C52,C51)</f>
        <v>0.49</v>
      </c>
      <c r="D58" s="49">
        <f>IF(($E52&gt;0),D52,D51)</f>
        <v>0.12</v>
      </c>
      <c r="E58" s="56">
        <f>MAX(C58:D58)</f>
        <v>0.49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9.7799999999999994</v>
      </c>
      <c r="D60" s="56">
        <f>D54</f>
        <v>0</v>
      </c>
      <c r="E60" s="56">
        <f>MAX(C60:D60)</f>
        <v>9.7799999999999994</v>
      </c>
      <c r="G60" s="1" t="str">
        <f>G54</f>
        <v>per 1000 youth</v>
      </c>
      <c r="L60" s="58">
        <f>L54</f>
        <v>1000</v>
      </c>
      <c r="M60" s="58"/>
    </row>
    <row r="61" spans="2:18" ht="15" hidden="1" customHeight="1">
      <c r="B61" s="49" t="str">
        <f t="shared" ref="B61:D62" si="11">IF(($E55&gt;0),B55,B54)</f>
        <v>per 100 arrests</v>
      </c>
      <c r="C61" s="49">
        <f t="shared" si="11"/>
        <v>0.15</v>
      </c>
      <c r="D61" s="49">
        <f t="shared" si="11"/>
        <v>0</v>
      </c>
      <c r="E61" s="49">
        <f>MAX(C61:D61)</f>
        <v>0.15</v>
      </c>
      <c r="G61" s="1" t="str">
        <f>G55</f>
        <v>per 100 arrests</v>
      </c>
      <c r="L61" s="58">
        <f>IF(($E55&gt;0),L55,L54)</f>
        <v>100</v>
      </c>
      <c r="M61" s="58"/>
    </row>
    <row r="62" spans="2:18" ht="15" hidden="1" customHeight="1">
      <c r="B62" s="49" t="str">
        <f t="shared" si="11"/>
        <v>per 100 referrals</v>
      </c>
      <c r="C62" s="49">
        <f t="shared" si="11"/>
        <v>1.59</v>
      </c>
      <c r="D62" s="49">
        <f t="shared" si="11"/>
        <v>0.31</v>
      </c>
      <c r="E62" s="49">
        <f>MAX(C62:D62)</f>
        <v>1.59</v>
      </c>
      <c r="G62" s="1" t="str">
        <f>G56</f>
        <v>per 100 referrals</v>
      </c>
      <c r="L62" s="58">
        <f>IF(($E56&gt;0),L56,L55)</f>
        <v>100</v>
      </c>
      <c r="M62" s="58"/>
    </row>
    <row r="63" spans="2:18" ht="15" hidden="1" customHeight="1">
      <c r="B63" s="49" t="str">
        <f>IF(($E57&gt;0),B57,B55)</f>
        <v>per 100 youth petitioned</v>
      </c>
      <c r="C63" s="49">
        <f>IF(($E57&gt;0),C57,C56)</f>
        <v>1.35</v>
      </c>
      <c r="D63" s="49">
        <f>IF(($E57&gt;0),D57,D56)</f>
        <v>0.24</v>
      </c>
      <c r="E63" s="49">
        <f>MAX(C63:D63)</f>
        <v>1.35</v>
      </c>
      <c r="G63" s="1" t="str">
        <f>G57</f>
        <v>per 100 youth petitioned</v>
      </c>
      <c r="L63" s="58">
        <f>IF(($E57&gt;0),L57,L56)</f>
        <v>100</v>
      </c>
      <c r="M63" s="58"/>
    </row>
    <row r="64" spans="2:18" ht="15" hidden="1" customHeight="1">
      <c r="B64" s="49" t="str">
        <f>IF(($E58&gt;0),B58,B57)</f>
        <v>per 100 youth found delinquent</v>
      </c>
      <c r="C64" s="49">
        <f>IF(($E58&gt;0),C58,C57)</f>
        <v>0.49</v>
      </c>
      <c r="D64" s="49">
        <f>IF(($E58&gt;0),D58,D57)</f>
        <v>0.12</v>
      </c>
      <c r="E64" s="56">
        <f>MAX(C64:D64)</f>
        <v>0.49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9.7799999999999994</v>
      </c>
      <c r="D66" s="56">
        <f>D60</f>
        <v>0</v>
      </c>
      <c r="E66" s="56">
        <f>MAX(C66:D66)</f>
        <v>9.7799999999999994</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v>
      </c>
      <c r="E67" s="49">
        <f>MAX(C67:D67)</f>
        <v>0.15</v>
      </c>
      <c r="G67" s="1" t="str">
        <f>G61</f>
        <v>per 100 arrests</v>
      </c>
      <c r="L67" s="58">
        <f>IF(($E61&gt;0),L61,L60)</f>
        <v>100</v>
      </c>
      <c r="M67" s="58">
        <f>IF((B67=G67),1,2)</f>
        <v>1</v>
      </c>
    </row>
    <row r="68" spans="2:13" ht="15" hidden="1" customHeight="1">
      <c r="B68" s="49" t="str">
        <f t="shared" si="12"/>
        <v>per 100 referrals</v>
      </c>
      <c r="C68" s="49">
        <f t="shared" si="12"/>
        <v>1.59</v>
      </c>
      <c r="D68" s="49">
        <f t="shared" si="12"/>
        <v>0.31</v>
      </c>
      <c r="E68" s="49">
        <f>MAX(C68:D68)</f>
        <v>1.59</v>
      </c>
      <c r="G68" s="1" t="str">
        <f>G62</f>
        <v>per 100 referrals</v>
      </c>
      <c r="L68" s="58">
        <f>IF(($E62&gt;0),L62,L61)</f>
        <v>100</v>
      </c>
      <c r="M68" s="58">
        <f>IF((B68=G68),1,2)</f>
        <v>1</v>
      </c>
    </row>
    <row r="69" spans="2:13" ht="15" hidden="1" customHeight="1">
      <c r="B69" s="49" t="str">
        <f>IF(($E63&gt;0),B63,B61)</f>
        <v>per 100 youth petitioned</v>
      </c>
      <c r="C69" s="49">
        <f>IF(($E63&gt;0),C63,C62)</f>
        <v>1.35</v>
      </c>
      <c r="D69" s="49">
        <f>IF(($E63&gt;0),D63,D62)</f>
        <v>0.24</v>
      </c>
      <c r="E69" s="49">
        <f>MAX(C69:D69)</f>
        <v>1.35</v>
      </c>
      <c r="G69" s="1" t="str">
        <f>G63</f>
        <v>per 100 youth petitioned</v>
      </c>
      <c r="L69" s="58">
        <f>IF(($E63&gt;0),L63,L62)</f>
        <v>100</v>
      </c>
      <c r="M69" s="58">
        <f>IF((B69=G69),1,2)</f>
        <v>1</v>
      </c>
    </row>
    <row r="70" spans="2:13" ht="15" hidden="1" customHeight="1">
      <c r="B70" s="49" t="str">
        <f>IF(($E64&gt;0),B64,B63)</f>
        <v>per 100 youth found delinquent</v>
      </c>
      <c r="C70" s="49">
        <f>IF(($E64&gt;0),C64,C63)</f>
        <v>0.49</v>
      </c>
      <c r="D70" s="49">
        <f>IF(($E64&gt;0),D64,D63)</f>
        <v>0.12</v>
      </c>
      <c r="E70" s="56">
        <f>MAX(C70:D70)</f>
        <v>0.49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Calhoun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9780</v>
      </c>
      <c r="D6" s="34"/>
      <c r="E6" s="33">
        <f>'Data Entry'!J6</f>
        <v>4061</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1.5337423312883436</v>
      </c>
      <c r="E7" s="33">
        <f>'Data Entry'!J7</f>
        <v>8</v>
      </c>
      <c r="F7" s="34">
        <f>IF((AND($E$7&gt;0,$D$66&gt;0)),($E$7/$D$66),0)</f>
        <v>1.9699581383895592</v>
      </c>
      <c r="G7" s="39">
        <f t="shared" ref="G7:G15" si="0">IF(L$6=100,"*",IF(M7=FALSE,"--",IF(K7=20,"**",($F7/$D7))))</f>
        <v>1.2844127062299926</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8</v>
      </c>
      <c r="O7" s="42">
        <f>E6-E7</f>
        <v>4053</v>
      </c>
      <c r="P7" s="42">
        <f t="shared" ref="P7:P15" si="4">C7</f>
        <v>15</v>
      </c>
      <c r="Q7" s="42">
        <f>C6-C7</f>
        <v>9765</v>
      </c>
      <c r="R7" s="42">
        <f t="shared" ref="R7:R15" si="5">SUM(N7:Q7)</f>
        <v>13841</v>
      </c>
      <c r="S7" s="30">
        <f t="shared" ref="S7:S15" si="6">R7*((((N7*Q7)-(O7*P7))^2))</f>
        <v>4154454005625</v>
      </c>
      <c r="T7" s="30">
        <f t="shared" ref="T7:T15" si="7">(N7+O7)*(P7+Q7)*(N7+P7)*(O7+Q7)</f>
        <v>12622485156120</v>
      </c>
      <c r="U7" s="31">
        <f t="shared" ref="U7:U15" si="8">IF((S7&gt;0),S7/T7,"- -")</f>
        <v>0.32913122528892158</v>
      </c>
    </row>
    <row r="8" spans="2:21" ht="18" customHeight="1">
      <c r="B8" s="32" t="str">
        <f>'Data Entry'!A8</f>
        <v>3. Refer to Juvenile Court</v>
      </c>
      <c r="C8" s="33">
        <f>'Data Entry'!C8</f>
        <v>159</v>
      </c>
      <c r="D8" s="34">
        <f>IF((AND(C67&gt;0,C8&gt;0)),(C8/C67),0)</f>
        <v>1060</v>
      </c>
      <c r="E8" s="33">
        <f>'Data Entry'!J8</f>
        <v>169</v>
      </c>
      <c r="F8" s="34">
        <f>IF((AND($E$8&gt;0,$D$67&gt;0)),($E8/$D67),0)</f>
        <v>2112.5</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169</v>
      </c>
      <c r="O8" s="42">
        <f>((D67*L67)-E8)+0.05</f>
        <v>-160.94999999999999</v>
      </c>
      <c r="P8" s="42">
        <f t="shared" si="4"/>
        <v>159</v>
      </c>
      <c r="Q8" s="42">
        <f>(C$67*L67)-C8</f>
        <v>-144</v>
      </c>
      <c r="R8" s="42">
        <f t="shared" si="5"/>
        <v>23.050000000000011</v>
      </c>
      <c r="S8" s="30">
        <f t="shared" si="6"/>
        <v>36307219.082624972</v>
      </c>
      <c r="T8" s="30">
        <f t="shared" si="7"/>
        <v>-12077849.700000018</v>
      </c>
      <c r="U8" s="31">
        <f t="shared" si="8"/>
        <v>-3.0060995942535134</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169</v>
      </c>
      <c r="P9" s="42">
        <f t="shared" si="4"/>
        <v>0</v>
      </c>
      <c r="Q9" s="42">
        <f>(C$68*L68)-C9</f>
        <v>159</v>
      </c>
      <c r="R9" s="42">
        <f t="shared" si="5"/>
        <v>328</v>
      </c>
      <c r="S9" s="30">
        <f t="shared" si="6"/>
        <v>0</v>
      </c>
      <c r="T9" s="30">
        <f t="shared" si="7"/>
        <v>0</v>
      </c>
      <c r="U9" s="31" t="str">
        <f t="shared" si="8"/>
        <v>- -</v>
      </c>
    </row>
    <row r="10" spans="2:21" ht="18" customHeight="1">
      <c r="B10" s="32" t="str">
        <f>'Data Entry'!A10</f>
        <v>5. Cases Involving Secure Detention</v>
      </c>
      <c r="C10" s="33">
        <f>'Data Entry'!C10</f>
        <v>50</v>
      </c>
      <c r="D10" s="34">
        <f>IF(((AND(C68&gt;0,C10&gt;0))),(C10/(C68)),0)</f>
        <v>31.446540880503143</v>
      </c>
      <c r="E10" s="33">
        <f>'Data Entry'!J10</f>
        <v>89</v>
      </c>
      <c r="F10" s="34">
        <f>IF(((AND($E$10&gt;0,$D$68&gt;0))),($E$10/($D$68)),0)</f>
        <v>52.662721893491124</v>
      </c>
      <c r="G10" s="39">
        <f t="shared" si="0"/>
        <v>1.6746745562130179</v>
      </c>
      <c r="H10" s="40"/>
      <c r="I10" s="41"/>
      <c r="J10" s="40">
        <f>IF((ABS($U10)&gt;Defaults!D$7),1,2)</f>
        <v>1</v>
      </c>
      <c r="K10" s="39">
        <f>IF((AND(N10&gt;Defaults!B$12,(N10+O10)&gt;Defaults!B$13, P10 &gt; Defaults!B$12, (P10+Q10) &gt; Defaults!B$13)),1,20)</f>
        <v>1</v>
      </c>
      <c r="L10" s="1">
        <f t="shared" si="1"/>
        <v>1</v>
      </c>
      <c r="M10" s="1" t="b">
        <f t="shared" si="2"/>
        <v>1</v>
      </c>
      <c r="N10" s="42">
        <f t="shared" si="3"/>
        <v>89</v>
      </c>
      <c r="O10" s="42">
        <f>(D$68*L68)-E10</f>
        <v>80</v>
      </c>
      <c r="P10" s="42">
        <f t="shared" si="4"/>
        <v>50</v>
      </c>
      <c r="Q10" s="42">
        <f>(C$68*L68)-C10</f>
        <v>109</v>
      </c>
      <c r="R10" s="42">
        <f t="shared" si="5"/>
        <v>328</v>
      </c>
      <c r="S10" s="30">
        <f t="shared" si="6"/>
        <v>10660459528</v>
      </c>
      <c r="T10" s="30">
        <f t="shared" si="7"/>
        <v>705928041</v>
      </c>
      <c r="U10" s="31">
        <f t="shared" si="8"/>
        <v>15.101340234195343</v>
      </c>
    </row>
    <row r="11" spans="2:21" ht="18" customHeight="1">
      <c r="B11" s="32" t="str">
        <f>'Data Entry'!A11</f>
        <v>6. Cases Petitioned (Charge Filed)</v>
      </c>
      <c r="C11" s="33">
        <f>'Data Entry'!C11</f>
        <v>135</v>
      </c>
      <c r="D11" s="34">
        <f>IF(((AND(C68&gt;0,C11&gt;0))),(C11/(C68)),0)</f>
        <v>84.905660377358487</v>
      </c>
      <c r="E11" s="33">
        <f>'Data Entry'!J11</f>
        <v>135</v>
      </c>
      <c r="F11" s="34">
        <f>IF(((AND($E$11&gt;0,$D$68&gt;0))),($E$11/($D$68)),0)</f>
        <v>79.881656804733737</v>
      </c>
      <c r="G11" s="39">
        <f t="shared" si="0"/>
        <v>0.94082840236686405</v>
      </c>
      <c r="H11" s="40"/>
      <c r="I11" s="41"/>
      <c r="J11" s="40">
        <f>IF((ABS($U11)&gt;Defaults!D$7),1,2)</f>
        <v>2</v>
      </c>
      <c r="K11" s="39">
        <f>IF((AND(N11&gt;Defaults!B$12,(N11+O11)&gt;Defaults!B$13, P11 &gt; Defaults!B$12, (P11+Q11) &gt; Defaults!B$13)),1,20)</f>
        <v>1</v>
      </c>
      <c r="L11" s="1">
        <f t="shared" si="1"/>
        <v>2</v>
      </c>
      <c r="M11" s="1" t="b">
        <f t="shared" si="2"/>
        <v>1</v>
      </c>
      <c r="N11" s="42">
        <f t="shared" si="3"/>
        <v>135</v>
      </c>
      <c r="O11" s="42">
        <f>(D$68*L68)-E11</f>
        <v>34</v>
      </c>
      <c r="P11" s="42">
        <f t="shared" si="4"/>
        <v>135</v>
      </c>
      <c r="Q11" s="42">
        <f>(C$68*L68)-C11</f>
        <v>24</v>
      </c>
      <c r="R11" s="42">
        <f t="shared" si="5"/>
        <v>328</v>
      </c>
      <c r="S11" s="30">
        <f t="shared" si="6"/>
        <v>597780000</v>
      </c>
      <c r="T11" s="30">
        <f t="shared" si="7"/>
        <v>420799860</v>
      </c>
      <c r="U11" s="31">
        <f t="shared" si="8"/>
        <v>1.4205803205352778</v>
      </c>
    </row>
    <row r="12" spans="2:21" ht="18" customHeight="1">
      <c r="B12" s="32" t="str">
        <f>'Data Entry'!A12</f>
        <v>7. Cases Resulting in Delinquent Findings</v>
      </c>
      <c r="C12" s="33">
        <f>'Data Entry'!C12</f>
        <v>49</v>
      </c>
      <c r="D12" s="34">
        <f>IF(((AND(C69&gt;0,C12&gt;0))),(C12/(C69)),0)</f>
        <v>36.296296296296291</v>
      </c>
      <c r="E12" s="33">
        <f>'Data Entry'!J12</f>
        <v>55</v>
      </c>
      <c r="F12" s="34">
        <f>IF(((AND($D$69&gt;0,$E$12&gt;0))),(E12/(D69)),0)</f>
        <v>40.74074074074074</v>
      </c>
      <c r="G12" s="39">
        <f t="shared" si="0"/>
        <v>1.1224489795918369</v>
      </c>
      <c r="H12" s="40"/>
      <c r="I12" s="41"/>
      <c r="J12" s="40">
        <f>IF((ABS($U12)&gt;Defaults!D$7),1,2)</f>
        <v>2</v>
      </c>
      <c r="K12" s="39">
        <f>IF((AND(N12&gt;Defaults!B$12,(N12+O12)&gt;Defaults!B$13, P12 &gt; Defaults!B$12, (P12+Q12) &gt; Defaults!B$13)),1,20)</f>
        <v>1</v>
      </c>
      <c r="L12" s="1">
        <f t="shared" si="1"/>
        <v>2</v>
      </c>
      <c r="M12" s="1" t="b">
        <f t="shared" si="2"/>
        <v>1</v>
      </c>
      <c r="N12" s="42">
        <f t="shared" si="3"/>
        <v>55</v>
      </c>
      <c r="O12" s="42">
        <f>(D69*L69)-E12</f>
        <v>80</v>
      </c>
      <c r="P12" s="42">
        <f t="shared" si="4"/>
        <v>49</v>
      </c>
      <c r="Q12" s="42">
        <f>(C69*L69)-C12</f>
        <v>86</v>
      </c>
      <c r="R12" s="42">
        <f t="shared" si="5"/>
        <v>270</v>
      </c>
      <c r="S12" s="30">
        <f t="shared" si="6"/>
        <v>177147000</v>
      </c>
      <c r="T12" s="30">
        <f t="shared" si="7"/>
        <v>314636400</v>
      </c>
      <c r="U12" s="31">
        <f t="shared" si="8"/>
        <v>0.56302131603336425</v>
      </c>
    </row>
    <row r="13" spans="2:21" ht="18" customHeight="1">
      <c r="B13" s="32" t="str">
        <f>'Data Entry'!A13</f>
        <v>8. Cases Resulting in Probation Placement</v>
      </c>
      <c r="C13" s="33">
        <f>'Data Entry'!C13</f>
        <v>54</v>
      </c>
      <c r="D13" s="34">
        <f>IF(((AND(C70&gt;0,C13&gt;0))),(C13/(C70)),0)</f>
        <v>110.20408163265306</v>
      </c>
      <c r="E13" s="33">
        <f>'Data Entry'!J13</f>
        <v>60</v>
      </c>
      <c r="F13" s="34">
        <f>IF(((AND($D$70&gt;0,$E$13&gt;0))),($E$13/($D$70)),0)</f>
        <v>109.09090909090908</v>
      </c>
      <c r="G13" s="39">
        <f t="shared" si="0"/>
        <v>0.98989898989898983</v>
      </c>
      <c r="H13" s="40"/>
      <c r="I13" s="41"/>
      <c r="J13" s="40">
        <f>IF((ABS($U13)&gt;Defaults!D$7),1,2)</f>
        <v>2</v>
      </c>
      <c r="K13" s="39">
        <f>IF((AND(N13&gt;Defaults!B$12,(N13+O13)&gt;Defaults!B$13, P13 &gt; Defaults!B$12, (P13+Q13) &gt; Defaults!B$13)),1,20)</f>
        <v>1</v>
      </c>
      <c r="L13" s="1">
        <f t="shared" si="1"/>
        <v>2</v>
      </c>
      <c r="M13" s="1" t="b">
        <f t="shared" si="2"/>
        <v>1</v>
      </c>
      <c r="N13" s="42">
        <f t="shared" si="3"/>
        <v>60</v>
      </c>
      <c r="O13" s="42">
        <f>(D70*L70)-E13</f>
        <v>-4.9999999999999929</v>
      </c>
      <c r="P13" s="42">
        <f t="shared" si="4"/>
        <v>54</v>
      </c>
      <c r="Q13" s="42">
        <f>(C70*L70)-C13</f>
        <v>-5</v>
      </c>
      <c r="R13" s="42">
        <f t="shared" si="5"/>
        <v>104</v>
      </c>
      <c r="S13" s="30">
        <f t="shared" si="6"/>
        <v>93600.000000002488</v>
      </c>
      <c r="T13" s="30">
        <f t="shared" si="7"/>
        <v>-3072299.9999999986</v>
      </c>
      <c r="U13" s="31">
        <f t="shared" si="8"/>
        <v>-3.0465774826677908E-2</v>
      </c>
    </row>
    <row r="14" spans="2:21" ht="30.75" customHeight="1">
      <c r="B14" s="32" t="str">
        <f>'Data Entry'!A14</f>
        <v xml:space="preserve">9. Cases Resulting in Confinement in Secure Juvenile Correctional Facilities </v>
      </c>
      <c r="C14" s="33">
        <f>'Data Entry'!C14</f>
        <v>41</v>
      </c>
      <c r="D14" s="34">
        <f>IF(((AND(C70&gt;0,C14&gt;0))), ((C14/(C70))),0)</f>
        <v>83.673469387755105</v>
      </c>
      <c r="E14" s="33">
        <f>'Data Entry'!J14</f>
        <v>65</v>
      </c>
      <c r="F14" s="34">
        <f>IF(((AND($D$70&gt;0,$E$14&gt;0))), (($E$14/($D$70))),0)</f>
        <v>118.18181818181817</v>
      </c>
      <c r="G14" s="39">
        <f t="shared" si="0"/>
        <v>1.4124168514412416</v>
      </c>
      <c r="H14" s="40"/>
      <c r="I14" s="41"/>
      <c r="J14" s="40">
        <f>IF((ABS($U14)&gt;Defaults!D$7),1,2)</f>
        <v>1</v>
      </c>
      <c r="K14" s="39">
        <f>IF((AND(N14&gt;Defaults!B$12,(N14+O14)&gt;Defaults!B$13, P14 &gt; Defaults!B$12, (P14+Q14) &gt; Defaults!B$13)),1,20)</f>
        <v>1</v>
      </c>
      <c r="L14" s="1">
        <f t="shared" si="1"/>
        <v>1</v>
      </c>
      <c r="M14" s="1" t="b">
        <f t="shared" si="2"/>
        <v>1</v>
      </c>
      <c r="N14" s="42">
        <f t="shared" si="3"/>
        <v>65</v>
      </c>
      <c r="O14" s="42">
        <f>(D70*L70)-E14</f>
        <v>-9.9999999999999929</v>
      </c>
      <c r="P14" s="42">
        <f t="shared" si="4"/>
        <v>41</v>
      </c>
      <c r="Q14" s="42">
        <f>(C70*L70)-C14</f>
        <v>8</v>
      </c>
      <c r="R14" s="42">
        <f t="shared" si="5"/>
        <v>104</v>
      </c>
      <c r="S14" s="30">
        <f t="shared" si="6"/>
        <v>89949599.999999955</v>
      </c>
      <c r="T14" s="30">
        <f t="shared" si="7"/>
        <v>-571339.99999999814</v>
      </c>
      <c r="U14" s="31">
        <f t="shared" si="8"/>
        <v>-157.43620261140521</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135</v>
      </c>
      <c r="P15" s="42">
        <f t="shared" si="4"/>
        <v>0</v>
      </c>
      <c r="Q15" s="42">
        <f>(C69*L69)-C15</f>
        <v>135</v>
      </c>
      <c r="R15" s="42">
        <f t="shared" si="5"/>
        <v>270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9.7799999999999994</v>
      </c>
      <c r="D42" s="56">
        <f>E6/1000</f>
        <v>4.0609999999999999</v>
      </c>
      <c r="E42" s="56">
        <f>MAX(C42:D42)</f>
        <v>9.7799999999999994</v>
      </c>
      <c r="G42" s="1" t="str">
        <f>B42</f>
        <v>per 1000 youth</v>
      </c>
      <c r="L42" s="57">
        <v>1000</v>
      </c>
      <c r="M42" s="57"/>
      <c r="R42" s="49"/>
    </row>
    <row r="43" spans="2:18" ht="15" hidden="1" customHeight="1">
      <c r="B43" s="49" t="s">
        <v>87</v>
      </c>
      <c r="C43" s="56">
        <f>C7/100</f>
        <v>0.15</v>
      </c>
      <c r="D43" s="56">
        <f>E7/100</f>
        <v>0.08</v>
      </c>
      <c r="E43" s="56">
        <f>MAX(C43:D43,0)</f>
        <v>0.15</v>
      </c>
      <c r="G43" s="1" t="str">
        <f>B43</f>
        <v>per 100 arrests</v>
      </c>
      <c r="L43" s="57">
        <v>100</v>
      </c>
      <c r="M43" s="57"/>
      <c r="R43" s="49"/>
    </row>
    <row r="44" spans="2:18" ht="15" hidden="1" customHeight="1">
      <c r="B44" s="49" t="s">
        <v>88</v>
      </c>
      <c r="C44" s="56">
        <f>C8/100</f>
        <v>1.59</v>
      </c>
      <c r="D44" s="56">
        <f>E8/100</f>
        <v>1.69</v>
      </c>
      <c r="E44" s="56">
        <f>MAX(C44:D44,0)</f>
        <v>1.69</v>
      </c>
      <c r="G44" s="1" t="str">
        <f>B44</f>
        <v>per 100 referrals</v>
      </c>
      <c r="L44" s="57">
        <v>100</v>
      </c>
      <c r="M44" s="57"/>
      <c r="R44" s="49"/>
    </row>
    <row r="45" spans="2:18" ht="15" hidden="1" customHeight="1">
      <c r="B45" s="49" t="s">
        <v>89</v>
      </c>
      <c r="C45" s="49">
        <f>C11/100</f>
        <v>1.35</v>
      </c>
      <c r="D45" s="49">
        <f>E11/100</f>
        <v>1.35</v>
      </c>
      <c r="E45" s="56">
        <f>MAX(C45:D45,0)</f>
        <v>1.35</v>
      </c>
      <c r="G45" s="1" t="str">
        <f>B45</f>
        <v>per 100 youth petitioned</v>
      </c>
      <c r="L45" s="57">
        <v>100</v>
      </c>
      <c r="M45" s="57"/>
      <c r="R45" s="49"/>
    </row>
    <row r="46" spans="2:18" ht="15" hidden="1" customHeight="1">
      <c r="B46" s="49" t="s">
        <v>90</v>
      </c>
      <c r="C46" s="49">
        <f>C12/100</f>
        <v>0.49</v>
      </c>
      <c r="D46" s="49">
        <f>E12/100</f>
        <v>0.55000000000000004</v>
      </c>
      <c r="E46" s="56">
        <f>MAX(C46:D46)</f>
        <v>0.55000000000000004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9.7799999999999994</v>
      </c>
      <c r="D48" s="56">
        <f>D42</f>
        <v>4.0609999999999999</v>
      </c>
      <c r="E48" s="56">
        <f>MAX(C48:D48)</f>
        <v>9.7799999999999994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0.15</v>
      </c>
      <c r="D49" s="49">
        <f t="shared" si="9"/>
        <v>0.08</v>
      </c>
      <c r="E49" s="49">
        <f>MAX(C49:D49)</f>
        <v>0.15</v>
      </c>
      <c r="G49" s="1" t="str">
        <f>G43</f>
        <v>per 100 arrests</v>
      </c>
      <c r="L49" s="58">
        <f>IF(($E43&gt;0),L43,L42)</f>
        <v>100</v>
      </c>
      <c r="M49" s="58"/>
      <c r="N49" s="21"/>
      <c r="O49" s="21"/>
      <c r="P49" s="21"/>
      <c r="Q49" s="21"/>
      <c r="R49" s="21"/>
    </row>
    <row r="50" spans="2:18" ht="15" hidden="1" customHeight="1">
      <c r="B50" s="49" t="str">
        <f t="shared" si="9"/>
        <v>per 100 referrals</v>
      </c>
      <c r="C50" s="49">
        <f t="shared" si="9"/>
        <v>1.59</v>
      </c>
      <c r="D50" s="49">
        <f t="shared" si="9"/>
        <v>1.69</v>
      </c>
      <c r="E50" s="49">
        <f>MAX(C50:D50)</f>
        <v>1.69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1.35</v>
      </c>
      <c r="D51" s="49">
        <f>IF(($E45&gt;0),D45,D44)</f>
        <v>1.35</v>
      </c>
      <c r="E51" s="49">
        <f>MAX(C51:D51)</f>
        <v>1.35</v>
      </c>
      <c r="G51" s="1" t="str">
        <f>G45</f>
        <v>per 100 youth petitioned</v>
      </c>
      <c r="L51" s="58">
        <f>IF(($E45&gt;0),L45,L44)</f>
        <v>100</v>
      </c>
      <c r="M51" s="58"/>
    </row>
    <row r="52" spans="2:18" ht="15" hidden="1" customHeight="1">
      <c r="B52" s="49" t="str">
        <f>IF(($E46&gt;0),B46,B45)</f>
        <v>per 100 youth found delinquent</v>
      </c>
      <c r="C52" s="49">
        <f>IF(($E46&gt;0),C46,C45)</f>
        <v>0.49</v>
      </c>
      <c r="D52" s="49">
        <f>IF(($E46&gt;0),D46,D45)</f>
        <v>0.55000000000000004</v>
      </c>
      <c r="E52" s="56">
        <f>MAX(C52:D52)</f>
        <v>0.55000000000000004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9.7799999999999994</v>
      </c>
      <c r="D54" s="56">
        <f>D48</f>
        <v>4.0609999999999999</v>
      </c>
      <c r="E54" s="56">
        <f>MAX(C54:D54)</f>
        <v>9.7799999999999994</v>
      </c>
      <c r="G54" s="1" t="str">
        <f>G48</f>
        <v>per 1000 youth</v>
      </c>
      <c r="L54" s="58">
        <f>L48</f>
        <v>1000</v>
      </c>
      <c r="M54" s="58"/>
    </row>
    <row r="55" spans="2:18" ht="15" hidden="1" customHeight="1">
      <c r="B55" s="49" t="str">
        <f t="shared" ref="B55:D56" si="10">IF(($E49&gt;0),B49,B48)</f>
        <v>per 100 arrests</v>
      </c>
      <c r="C55" s="49">
        <f t="shared" si="10"/>
        <v>0.15</v>
      </c>
      <c r="D55" s="49">
        <f t="shared" si="10"/>
        <v>0.08</v>
      </c>
      <c r="E55" s="49">
        <f>MAX(C55:D55)</f>
        <v>0.15</v>
      </c>
      <c r="G55" s="1" t="str">
        <f>G49</f>
        <v>per 100 arrests</v>
      </c>
      <c r="L55" s="58">
        <f>IF(($E49&gt;0),L49,L48)</f>
        <v>100</v>
      </c>
      <c r="M55" s="58"/>
    </row>
    <row r="56" spans="2:18" ht="15" hidden="1" customHeight="1">
      <c r="B56" s="49" t="str">
        <f t="shared" si="10"/>
        <v>per 100 referrals</v>
      </c>
      <c r="C56" s="49">
        <f t="shared" si="10"/>
        <v>1.59</v>
      </c>
      <c r="D56" s="49">
        <f t="shared" si="10"/>
        <v>1.69</v>
      </c>
      <c r="E56" s="49">
        <f>MAX(C56:D56)</f>
        <v>1.69</v>
      </c>
      <c r="G56" s="1" t="str">
        <f>G50</f>
        <v>per 100 referrals</v>
      </c>
      <c r="L56" s="58">
        <f>IF(($E50&gt;0),L50,L49)</f>
        <v>100</v>
      </c>
      <c r="M56" s="58"/>
    </row>
    <row r="57" spans="2:18" ht="15" hidden="1" customHeight="1">
      <c r="B57" s="49" t="str">
        <f>IF(($E51&gt;0),B51,B49)</f>
        <v>per 100 youth petitioned</v>
      </c>
      <c r="C57" s="49">
        <f>IF(($E51&gt;0),C51,C50)</f>
        <v>1.35</v>
      </c>
      <c r="D57" s="49">
        <f>IF(($E51&gt;0),D51,D50)</f>
        <v>1.35</v>
      </c>
      <c r="E57" s="49">
        <f>MAX(C57:D57)</f>
        <v>1.35</v>
      </c>
      <c r="G57" s="1" t="str">
        <f>G51</f>
        <v>per 100 youth petitioned</v>
      </c>
      <c r="L57" s="58">
        <f>IF(($E51&gt;0),L51,L50)</f>
        <v>100</v>
      </c>
      <c r="M57" s="58"/>
    </row>
    <row r="58" spans="2:18" ht="15" hidden="1" customHeight="1">
      <c r="B58" s="49" t="str">
        <f>IF(($E52&gt;0),B52,B51)</f>
        <v>per 100 youth found delinquent</v>
      </c>
      <c r="C58" s="49">
        <f>IF(($E52&gt;0),C52,C51)</f>
        <v>0.49</v>
      </c>
      <c r="D58" s="49">
        <f>IF(($E52&gt;0),D52,D51)</f>
        <v>0.55000000000000004</v>
      </c>
      <c r="E58" s="56">
        <f>MAX(C58:D58)</f>
        <v>0.55000000000000004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9.7799999999999994</v>
      </c>
      <c r="D60" s="56">
        <f>D54</f>
        <v>4.0609999999999999</v>
      </c>
      <c r="E60" s="56">
        <f>MAX(C60:D60)</f>
        <v>9.7799999999999994</v>
      </c>
      <c r="G60" s="1" t="str">
        <f>G54</f>
        <v>per 1000 youth</v>
      </c>
      <c r="L60" s="58">
        <f>L54</f>
        <v>1000</v>
      </c>
      <c r="M60" s="58"/>
    </row>
    <row r="61" spans="2:18" ht="15" hidden="1" customHeight="1">
      <c r="B61" s="49" t="str">
        <f t="shared" ref="B61:D62" si="11">IF(($E55&gt;0),B55,B54)</f>
        <v>per 100 arrests</v>
      </c>
      <c r="C61" s="49">
        <f t="shared" si="11"/>
        <v>0.15</v>
      </c>
      <c r="D61" s="49">
        <f t="shared" si="11"/>
        <v>0.08</v>
      </c>
      <c r="E61" s="49">
        <f>MAX(C61:D61)</f>
        <v>0.15</v>
      </c>
      <c r="G61" s="1" t="str">
        <f>G55</f>
        <v>per 100 arrests</v>
      </c>
      <c r="L61" s="58">
        <f>IF(($E55&gt;0),L55,L54)</f>
        <v>100</v>
      </c>
      <c r="M61" s="58"/>
    </row>
    <row r="62" spans="2:18" ht="15" hidden="1" customHeight="1">
      <c r="B62" s="49" t="str">
        <f t="shared" si="11"/>
        <v>per 100 referrals</v>
      </c>
      <c r="C62" s="49">
        <f t="shared" si="11"/>
        <v>1.59</v>
      </c>
      <c r="D62" s="49">
        <f t="shared" si="11"/>
        <v>1.69</v>
      </c>
      <c r="E62" s="49">
        <f>MAX(C62:D62)</f>
        <v>1.69</v>
      </c>
      <c r="G62" s="1" t="str">
        <f>G56</f>
        <v>per 100 referrals</v>
      </c>
      <c r="L62" s="58">
        <f>IF(($E56&gt;0),L56,L55)</f>
        <v>100</v>
      </c>
      <c r="M62" s="58"/>
    </row>
    <row r="63" spans="2:18" ht="15" hidden="1" customHeight="1">
      <c r="B63" s="49" t="str">
        <f>IF(($E57&gt;0),B57,B55)</f>
        <v>per 100 youth petitioned</v>
      </c>
      <c r="C63" s="49">
        <f>IF(($E57&gt;0),C57,C56)</f>
        <v>1.35</v>
      </c>
      <c r="D63" s="49">
        <f>IF(($E57&gt;0),D57,D56)</f>
        <v>1.35</v>
      </c>
      <c r="E63" s="49">
        <f>MAX(C63:D63)</f>
        <v>1.35</v>
      </c>
      <c r="G63" s="1" t="str">
        <f>G57</f>
        <v>per 100 youth petitioned</v>
      </c>
      <c r="L63" s="58">
        <f>IF(($E57&gt;0),L57,L56)</f>
        <v>100</v>
      </c>
      <c r="M63" s="58"/>
    </row>
    <row r="64" spans="2:18" ht="15" hidden="1" customHeight="1">
      <c r="B64" s="49" t="str">
        <f>IF(($E58&gt;0),B58,B57)</f>
        <v>per 100 youth found delinquent</v>
      </c>
      <c r="C64" s="49">
        <f>IF(($E58&gt;0),C58,C57)</f>
        <v>0.49</v>
      </c>
      <c r="D64" s="49">
        <f>IF(($E58&gt;0),D58,D57)</f>
        <v>0.55000000000000004</v>
      </c>
      <c r="E64" s="56">
        <f>MAX(C64:D64)</f>
        <v>0.55000000000000004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9.7799999999999994</v>
      </c>
      <c r="D66" s="56">
        <f>D60</f>
        <v>4.0609999999999999</v>
      </c>
      <c r="E66" s="56">
        <f>MAX(C66:D66)</f>
        <v>9.7799999999999994</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0.08</v>
      </c>
      <c r="E67" s="49">
        <f>MAX(C67:D67)</f>
        <v>0.15</v>
      </c>
      <c r="G67" s="1" t="str">
        <f>G61</f>
        <v>per 100 arrests</v>
      </c>
      <c r="L67" s="58">
        <f>IF(($E61&gt;0),L61,L60)</f>
        <v>100</v>
      </c>
      <c r="M67" s="58">
        <f>IF((B67=G67),1,2)</f>
        <v>1</v>
      </c>
    </row>
    <row r="68" spans="2:13" ht="15" hidden="1" customHeight="1">
      <c r="B68" s="49" t="str">
        <f t="shared" si="12"/>
        <v>per 100 referrals</v>
      </c>
      <c r="C68" s="49">
        <f t="shared" si="12"/>
        <v>1.59</v>
      </c>
      <c r="D68" s="49">
        <f t="shared" si="12"/>
        <v>1.69</v>
      </c>
      <c r="E68" s="49">
        <f>MAX(C68:D68)</f>
        <v>1.69</v>
      </c>
      <c r="G68" s="1" t="str">
        <f>G62</f>
        <v>per 100 referrals</v>
      </c>
      <c r="L68" s="58">
        <f>IF(($E62&gt;0),L62,L61)</f>
        <v>100</v>
      </c>
      <c r="M68" s="58">
        <f>IF((B68=G68),1,2)</f>
        <v>1</v>
      </c>
    </row>
    <row r="69" spans="2:13" ht="15" hidden="1" customHeight="1">
      <c r="B69" s="49" t="str">
        <f>IF(($E63&gt;0),B63,B61)</f>
        <v>per 100 youth petitioned</v>
      </c>
      <c r="C69" s="49">
        <f>IF(($E63&gt;0),C63,C62)</f>
        <v>1.35</v>
      </c>
      <c r="D69" s="49">
        <f>IF(($E63&gt;0),D63,D62)</f>
        <v>1.35</v>
      </c>
      <c r="E69" s="49">
        <f>MAX(C69:D69)</f>
        <v>1.35</v>
      </c>
      <c r="G69" s="1" t="str">
        <f>G63</f>
        <v>per 100 youth petitioned</v>
      </c>
      <c r="L69" s="58">
        <f>IF(($E63&gt;0),L63,L62)</f>
        <v>100</v>
      </c>
      <c r="M69" s="58">
        <f>IF((B69=G69),1,2)</f>
        <v>1</v>
      </c>
    </row>
    <row r="70" spans="2:13" ht="15" hidden="1" customHeight="1">
      <c r="B70" s="49" t="str">
        <f>IF(($E64&gt;0),B64,B63)</f>
        <v>per 100 youth found delinquent</v>
      </c>
      <c r="C70" s="49">
        <f>IF(($E64&gt;0),C64,C63)</f>
        <v>0.49</v>
      </c>
      <c r="D70" s="49">
        <f>IF(($E64&gt;0),D64,D63)</f>
        <v>0.55000000000000004</v>
      </c>
      <c r="E70" s="56">
        <f>MAX(C70:D70)</f>
        <v>0.55000000000000004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Calhoun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2.2224115892628888</v>
      </c>
      <c r="D7" s="72" t="str">
        <f>Hispanic!G7</f>
        <v>**</v>
      </c>
      <c r="E7" s="72" t="str">
        <f>Asian!G7</f>
        <v>**</v>
      </c>
      <c r="F7" s="72" t="str">
        <f>Hawaiian!G7</f>
        <v>*</v>
      </c>
      <c r="G7" s="72" t="str">
        <f>'Am Indian'!G7</f>
        <v>*</v>
      </c>
      <c r="H7" s="72" t="str">
        <f>'Other - Mixed'!G7</f>
        <v>*</v>
      </c>
      <c r="I7" s="73">
        <f>'All Minorities'!G7</f>
        <v>1.2844127062299926</v>
      </c>
      <c r="L7" s="1">
        <f>'Black or African-American'!L7</f>
        <v>2</v>
      </c>
      <c r="M7" s="1">
        <f>Hispanic!L7</f>
        <v>40</v>
      </c>
      <c r="N7" s="1">
        <f>Asian!L7</f>
        <v>40</v>
      </c>
      <c r="O7" s="1" t="e">
        <f>Hawaiian!L7</f>
        <v>#VALUE!</v>
      </c>
      <c r="P7" s="1">
        <f>'Am Indian'!L7</f>
        <v>139</v>
      </c>
      <c r="Q7" s="1" t="e">
        <f>'Other - Mixed'!L7</f>
        <v>#VALUE!</v>
      </c>
      <c r="R7" s="1">
        <f>'All Minorities'!L7</f>
        <v>2</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139</v>
      </c>
      <c r="Q8" s="1">
        <f>'Other - Mixed'!L8</f>
        <v>119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f>'Black or African-American'!$G10</f>
        <v>1.6497744360902256</v>
      </c>
      <c r="D10" s="72" t="str">
        <f>Hispanic!G10</f>
        <v>**</v>
      </c>
      <c r="E10" s="72" t="str">
        <f>Asian!G10</f>
        <v>**</v>
      </c>
      <c r="F10" s="72" t="str">
        <f>Hawaiian!G10</f>
        <v>*</v>
      </c>
      <c r="G10" s="72" t="str">
        <f>'Am Indian'!G10</f>
        <v>*</v>
      </c>
      <c r="H10" s="72" t="str">
        <f>'Other - Mixed'!G10</f>
        <v>*</v>
      </c>
      <c r="I10" s="73">
        <f>'All Minorities'!G10</f>
        <v>1.6746745562130179</v>
      </c>
      <c r="L10" s="1">
        <f>'Black or African-American'!L10</f>
        <v>1</v>
      </c>
      <c r="M10" s="1">
        <f>Hispanic!L10</f>
        <v>40</v>
      </c>
      <c r="N10" s="1">
        <f>Asian!L10</f>
        <v>40</v>
      </c>
      <c r="O10" s="1" t="e">
        <f>Hawaiian!L10</f>
        <v>#VALUE!</v>
      </c>
      <c r="P10" s="1" t="e">
        <f>'Am Indian'!L10</f>
        <v>#VALUE!</v>
      </c>
      <c r="Q10" s="1">
        <f>'Other - Mixed'!L10</f>
        <v>100</v>
      </c>
      <c r="R10" s="1">
        <f>'All Minorities'!L10</f>
        <v>1</v>
      </c>
    </row>
    <row r="11" spans="2:18" ht="15" customHeight="1">
      <c r="B11" s="71" t="s">
        <v>95</v>
      </c>
      <c r="C11" s="72">
        <f>'Black or African-American'!$G11</f>
        <v>0.93868003341687556</v>
      </c>
      <c r="D11" s="72" t="str">
        <f>Hispanic!G11</f>
        <v>**</v>
      </c>
      <c r="E11" s="72" t="str">
        <f>Asian!G11</f>
        <v>**</v>
      </c>
      <c r="F11" s="72" t="str">
        <f>Hawaiian!G11</f>
        <v>*</v>
      </c>
      <c r="G11" s="72" t="str">
        <f>'Am Indian'!G11</f>
        <v>*</v>
      </c>
      <c r="H11" s="72" t="str">
        <f>'Other - Mixed'!G11</f>
        <v>*</v>
      </c>
      <c r="I11" s="73">
        <f>'All Minorities'!G11</f>
        <v>0.94082840236686405</v>
      </c>
      <c r="L11" s="1">
        <f>'Black or African-American'!L11</f>
        <v>2</v>
      </c>
      <c r="M11" s="1">
        <f>Hispanic!L11</f>
        <v>40</v>
      </c>
      <c r="N11" s="1">
        <f>Asian!L11</f>
        <v>40</v>
      </c>
      <c r="O11" s="1" t="e">
        <f>Hawaiian!L11</f>
        <v>#VALUE!</v>
      </c>
      <c r="P11" s="1" t="e">
        <f>'Am Indian'!L11</f>
        <v>#VALUE!</v>
      </c>
      <c r="Q11" s="1">
        <f>'Other - Mixed'!L11</f>
        <v>101</v>
      </c>
      <c r="R11" s="1">
        <f>'All Minorities'!L11</f>
        <v>2</v>
      </c>
    </row>
    <row r="12" spans="2:18" ht="15" customHeight="1">
      <c r="B12" s="71" t="s">
        <v>13</v>
      </c>
      <c r="C12" s="72">
        <f>'Black or African-American'!$G12</f>
        <v>1.0396611474778592</v>
      </c>
      <c r="D12" s="72" t="str">
        <f>Hispanic!G12</f>
        <v>**</v>
      </c>
      <c r="E12" s="72" t="str">
        <f>Asian!G12</f>
        <v>**</v>
      </c>
      <c r="F12" s="72" t="str">
        <f>Hawaiian!G12</f>
        <v>*</v>
      </c>
      <c r="G12" s="72" t="str">
        <f>'Am Indian'!G12</f>
        <v>*</v>
      </c>
      <c r="H12" s="72" t="str">
        <f>'Other - Mixed'!G12</f>
        <v>*</v>
      </c>
      <c r="I12" s="73">
        <f>'All Minorities'!G12</f>
        <v>1.1224489795918369</v>
      </c>
      <c r="L12" s="1">
        <f>'Black or African-American'!L12</f>
        <v>2</v>
      </c>
      <c r="M12" s="1">
        <f>Hispanic!L12</f>
        <v>40</v>
      </c>
      <c r="N12" s="1">
        <f>Asian!L12</f>
        <v>40</v>
      </c>
      <c r="O12" s="1" t="e">
        <f>Hawaiian!L12</f>
        <v>#VALUE!</v>
      </c>
      <c r="P12" s="1" t="e">
        <f>'Am Indian'!L12</f>
        <v>#VALUE!</v>
      </c>
      <c r="Q12" s="1">
        <f>'Other - Mixed'!L12</f>
        <v>139</v>
      </c>
      <c r="R12" s="1">
        <f>'All Minorities'!L12</f>
        <v>2</v>
      </c>
    </row>
    <row r="13" spans="2:18" ht="15" customHeight="1">
      <c r="B13" s="71" t="s">
        <v>14</v>
      </c>
      <c r="C13" s="72">
        <f>'Black or African-American'!$G13</f>
        <v>0.97546296296296298</v>
      </c>
      <c r="D13" s="72" t="str">
        <f>Hispanic!G13</f>
        <v>**</v>
      </c>
      <c r="E13" s="72" t="str">
        <f>Asian!G13</f>
        <v>**</v>
      </c>
      <c r="F13" s="72" t="str">
        <f>Hawaiian!G13</f>
        <v>*</v>
      </c>
      <c r="G13" s="72" t="str">
        <f>'Am Indian'!G13</f>
        <v>*</v>
      </c>
      <c r="H13" s="72" t="str">
        <f>'Other - Mixed'!G13</f>
        <v>*</v>
      </c>
      <c r="I13" s="73">
        <f>'All Minorities'!G13</f>
        <v>0.98989898989898983</v>
      </c>
      <c r="L13" s="1">
        <f>'Black or African-American'!L13</f>
        <v>2</v>
      </c>
      <c r="M13" s="1">
        <f>Hispanic!L13</f>
        <v>40</v>
      </c>
      <c r="N13" s="1">
        <f>Asian!L13</f>
        <v>40</v>
      </c>
      <c r="O13" s="1" t="e">
        <f>Hawaiian!L13</f>
        <v>#VALUE!</v>
      </c>
      <c r="P13" s="1" t="e">
        <f>'Am Indian'!L13</f>
        <v>#VALUE!</v>
      </c>
      <c r="Q13" s="1">
        <f>'Other - Mixed'!L13</f>
        <v>139</v>
      </c>
      <c r="R13" s="1">
        <f>'All Minorities'!L13</f>
        <v>2</v>
      </c>
    </row>
    <row r="14" spans="2:18" ht="25.5" customHeight="1">
      <c r="B14" s="71" t="s">
        <v>15</v>
      </c>
      <c r="C14" s="72">
        <f>'Black or African-American'!$G14</f>
        <v>1.5536585365853659</v>
      </c>
      <c r="D14" s="72" t="str">
        <f>Hispanic!G14</f>
        <v>**</v>
      </c>
      <c r="E14" s="72" t="str">
        <f>Asian!G14</f>
        <v>**</v>
      </c>
      <c r="F14" s="72" t="str">
        <f>Hawaiian!G14</f>
        <v>*</v>
      </c>
      <c r="G14" s="72" t="str">
        <f>'Am Indian'!G14</f>
        <v>*</v>
      </c>
      <c r="H14" s="72" t="str">
        <f>'Other - Mixed'!G14</f>
        <v>*</v>
      </c>
      <c r="I14" s="73">
        <f>'All Minorities'!G14</f>
        <v>1.4124168514412416</v>
      </c>
      <c r="L14" s="1">
        <f>'Black or African-American'!L14</f>
        <v>1</v>
      </c>
      <c r="M14" s="1">
        <f>Hispanic!L14</f>
        <v>40</v>
      </c>
      <c r="N14" s="1">
        <f>Asian!L14</f>
        <v>20</v>
      </c>
      <c r="O14" s="1" t="e">
        <f>Hawaiian!L14</f>
        <v>#VALUE!</v>
      </c>
      <c r="P14" s="1" t="e">
        <f>'Am Indian'!L14</f>
        <v>#VALUE!</v>
      </c>
      <c r="Q14" s="1">
        <f>'Other - Mixed'!L14</f>
        <v>139</v>
      </c>
      <c r="R14" s="1">
        <f>'All Minorities'!L14</f>
        <v>1</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13841</v>
      </c>
      <c r="D3" s="57">
        <f>'Data Entry'!C6</f>
        <v>9780</v>
      </c>
      <c r="E3" s="57">
        <f>'Data Entry'!D6</f>
        <v>2347</v>
      </c>
      <c r="F3" s="57">
        <f>'Data Entry'!E6</f>
        <v>1201</v>
      </c>
      <c r="G3" s="57">
        <f>'Data Entry'!F6</f>
        <v>402</v>
      </c>
      <c r="H3" s="57">
        <f>'Data Entry'!G6</f>
        <v>0</v>
      </c>
      <c r="I3" s="57">
        <f>'Data Entry'!H6</f>
        <v>111</v>
      </c>
      <c r="J3" s="57">
        <f>'Data Entry'!I6</f>
        <v>0</v>
      </c>
      <c r="K3" s="57">
        <f>'Data Entry'!J6</f>
        <v>4061</v>
      </c>
    </row>
    <row r="4" spans="2:11" ht="15" customHeight="1">
      <c r="B4" s="16" t="s">
        <v>8</v>
      </c>
      <c r="C4" s="1">
        <f>IF((C$3&gt;0),(1000*('Data Entry'!B7/'Data Entry'!B$6)), 0)</f>
        <v>1.6617296438118632</v>
      </c>
      <c r="D4" s="1">
        <f>IF((D$3&gt;0),(1000*('Data Entry'!C7/'Data Entry'!C$6)), 0)</f>
        <v>1.5337423312883436</v>
      </c>
      <c r="E4" s="1">
        <f>IF((E$3&gt;0),(1000*('Data Entry'!D7/'Data Entry'!D$6)), 0)</f>
        <v>3.4086067319982956</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1.9699581383895592</v>
      </c>
    </row>
    <row r="5" spans="2:11" ht="15" customHeight="1">
      <c r="B5" s="16" t="s">
        <v>9</v>
      </c>
      <c r="C5" s="1">
        <f>IF((C$3&gt;0),(1000*('Data Entry'!B8/'Data Entry'!B$6)), 0)</f>
        <v>24.853695542229605</v>
      </c>
      <c r="D5" s="1">
        <f>IF((D$3&gt;0),(1000*('Data Entry'!C8/'Data Entry'!C$6)), 0)</f>
        <v>16.257668711656443</v>
      </c>
      <c r="E5" s="1">
        <f>IF((E$3&gt;0),(1000*('Data Entry'!D8/'Data Entry'!D$6)), 0)</f>
        <v>56.668086919471662</v>
      </c>
      <c r="F5" s="1">
        <f>IF((F$3&gt;0),(1000*('Data Entry'!E8/'Data Entry'!E$6)), 0)</f>
        <v>3.3305578684429644</v>
      </c>
      <c r="G5" s="1">
        <f>IF((G$3&gt;0),(1000*('Data Entry'!F8/'Data Entry'!F$6)), 0)</f>
        <v>2.4875621890547261</v>
      </c>
      <c r="H5" s="1">
        <f>IF((H$3&gt;0),(1000*('Data Entry'!G8/'Data Entry'!G$6)), 0)</f>
        <v>0</v>
      </c>
      <c r="I5" s="1">
        <f>IF((I$3&gt;0),(1000*('Data Entry'!H8/'Data Entry'!H$6)), 0)</f>
        <v>0</v>
      </c>
      <c r="J5" s="1">
        <f>IF((J$3&gt;0),(1000*('Data Entry'!I8/'Data Entry'!I$6)), 0)</f>
        <v>0</v>
      </c>
      <c r="K5" s="1">
        <f>IF((K$3&gt;0),(1000*('Data Entry'!J8/'Data Entry'!J$6)), 0)</f>
        <v>41.615365673479438</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10.331623437612889</v>
      </c>
      <c r="D7" s="1">
        <f>IF((D$3&gt;0),(1000*('Data Entry'!C10/'Data Entry'!C$6)), 0)</f>
        <v>5.112474437627812</v>
      </c>
      <c r="E7" s="1">
        <f>IF((E$3&gt;0),(1000*('Data Entry'!D10/'Data Entry'!D$6)), 0)</f>
        <v>29.399233063485301</v>
      </c>
      <c r="F7" s="1">
        <f>IF((F$3&gt;0),(1000*('Data Entry'!E10/'Data Entry'!E$6)), 0)</f>
        <v>2.4979184013322233</v>
      </c>
      <c r="G7" s="1">
        <f>IF((G$3&gt;0),(1000*('Data Entry'!F10/'Data Entry'!F$6)), 0)</f>
        <v>0</v>
      </c>
      <c r="H7" s="1">
        <f>IF((H$3&gt;0),(1000*('Data Entry'!G10/'Data Entry'!G$6)), 0)</f>
        <v>0</v>
      </c>
      <c r="I7" s="1">
        <f>IF((I$3&gt;0),(1000*('Data Entry'!H10/'Data Entry'!H$6)), 0)</f>
        <v>0</v>
      </c>
      <c r="J7" s="1">
        <f>IF((J$3&gt;0),(1000*('Data Entry'!I10/'Data Entry'!I$6)), 0)</f>
        <v>0</v>
      </c>
      <c r="K7" s="1">
        <f>IF((K$3&gt;0),(1000*('Data Entry'!J10/'Data Entry'!J$6)), 0)</f>
        <v>21.915784289583847</v>
      </c>
    </row>
    <row r="8" spans="2:11" ht="15" customHeight="1">
      <c r="B8" s="16" t="s">
        <v>95</v>
      </c>
      <c r="C8" s="1">
        <f>IF((C$3&gt;0),(1000*('Data Entry'!B11/'Data Entry'!B$6)), 0)</f>
        <v>20.518748645329097</v>
      </c>
      <c r="D8" s="1">
        <f>IF((D$3&gt;0),(1000*('Data Entry'!C11/'Data Entry'!C$6)), 0)</f>
        <v>13.803680981595091</v>
      </c>
      <c r="E8" s="1">
        <f>IF((E$3&gt;0),(1000*('Data Entry'!D11/'Data Entry'!D$6)), 0)</f>
        <v>45.16403919897742</v>
      </c>
      <c r="F8" s="1">
        <f>IF((F$3&gt;0),(1000*('Data Entry'!E11/'Data Entry'!E$6)), 0)</f>
        <v>3.3305578684429644</v>
      </c>
      <c r="G8" s="1">
        <f>IF((G$3&gt;0),(1000*('Data Entry'!F11/'Data Entry'!F$6)), 0)</f>
        <v>2.4875621890547261</v>
      </c>
      <c r="H8" s="1">
        <f>IF((H$3&gt;0),(1000*('Data Entry'!G11/'Data Entry'!G$6)), 0)</f>
        <v>0</v>
      </c>
      <c r="I8" s="1">
        <f>IF((I$3&gt;0),(1000*('Data Entry'!H11/'Data Entry'!H$6)), 0)</f>
        <v>0</v>
      </c>
      <c r="J8" s="1">
        <f>IF((J$3&gt;0),(1000*('Data Entry'!I11/'Data Entry'!I$6)), 0)</f>
        <v>0</v>
      </c>
      <c r="K8" s="1">
        <f>IF((K$3&gt;0),(1000*('Data Entry'!J11/'Data Entry'!J$6)), 0)</f>
        <v>33.243043585323811</v>
      </c>
    </row>
    <row r="9" spans="2:11" ht="15" customHeight="1">
      <c r="B9" s="16" t="s">
        <v>13</v>
      </c>
      <c r="C9" s="1">
        <f>IF((C$3&gt;0),(1000*('Data Entry'!B12/'Data Entry'!B$6)), 0)</f>
        <v>7.7306552994725815</v>
      </c>
      <c r="D9" s="1">
        <f>IF((D$3&gt;0),(1000*('Data Entry'!C12/'Data Entry'!C$6)), 0)</f>
        <v>5.0102249488752557</v>
      </c>
      <c r="E9" s="1">
        <f>IF((E$3&gt;0),(1000*('Data Entry'!D12/'Data Entry'!D$6)), 0)</f>
        <v>17.043033659991476</v>
      </c>
      <c r="F9" s="1">
        <f>IF((F$3&gt;0),(1000*('Data Entry'!E12/'Data Entry'!E$6)), 0)</f>
        <v>1.6652789342214822</v>
      </c>
      <c r="G9" s="1">
        <f>IF((G$3&gt;0),(1000*('Data Entry'!F12/'Data Entry'!F$6)), 0)</f>
        <v>2.4875621890547261</v>
      </c>
      <c r="H9" s="1">
        <f>IF((H$3&gt;0),(1000*('Data Entry'!G12/'Data Entry'!G$6)), 0)</f>
        <v>0</v>
      </c>
      <c r="I9" s="1">
        <f>IF((I$3&gt;0),(1000*('Data Entry'!H12/'Data Entry'!H$6)), 0)</f>
        <v>0</v>
      </c>
      <c r="J9" s="1">
        <f>IF((J$3&gt;0),(1000*('Data Entry'!I12/'Data Entry'!I$6)), 0)</f>
        <v>0</v>
      </c>
      <c r="K9" s="1">
        <f>IF((K$3&gt;0),(1000*('Data Entry'!J12/'Data Entry'!J$6)), 0)</f>
        <v>13.54346220142822</v>
      </c>
    </row>
    <row r="10" spans="2:11" ht="15" customHeight="1">
      <c r="B10" s="16" t="s">
        <v>14</v>
      </c>
      <c r="C10" s="1">
        <f>IF((C$3&gt;0),(1000*('Data Entry'!B13/'Data Entry'!B$6)), 0)</f>
        <v>8.4531464489560015</v>
      </c>
      <c r="D10" s="1">
        <f>IF((D$3&gt;0),(1000*('Data Entry'!C13/'Data Entry'!C$6)), 0)</f>
        <v>5.5214723926380369</v>
      </c>
      <c r="E10" s="1">
        <f>IF((E$3&gt;0),(1000*('Data Entry'!D13/'Data Entry'!D$6)), 0)</f>
        <v>18.321261184490837</v>
      </c>
      <c r="F10" s="1">
        <f>IF((F$3&gt;0),(1000*('Data Entry'!E13/'Data Entry'!E$6)), 0)</f>
        <v>1.6652789342214822</v>
      </c>
      <c r="G10" s="1">
        <f>IF((G$3&gt;0),(1000*('Data Entry'!F13/'Data Entry'!F$6)), 0)</f>
        <v>2.4875621890547261</v>
      </c>
      <c r="H10" s="1">
        <f>IF((H$3&gt;0),(1000*('Data Entry'!G13/'Data Entry'!G$6)), 0)</f>
        <v>0</v>
      </c>
      <c r="I10" s="1">
        <f>IF((I$3&gt;0),(1000*('Data Entry'!H13/'Data Entry'!H$6)), 0)</f>
        <v>0</v>
      </c>
      <c r="J10" s="1">
        <f>IF((J$3&gt;0),(1000*('Data Entry'!I13/'Data Entry'!I$6)), 0)</f>
        <v>0</v>
      </c>
      <c r="K10" s="1">
        <f>IF((K$3&gt;0),(1000*('Data Entry'!J13/'Data Entry'!J$6)), 0)</f>
        <v>14.774686037921693</v>
      </c>
    </row>
    <row r="11" spans="2:11" ht="25.5" customHeight="1">
      <c r="B11" s="16" t="s">
        <v>15</v>
      </c>
      <c r="C11" s="1">
        <f>IF((C$3&gt;0),(1000*('Data Entry'!B14/'Data Entry'!B$6)), 0)</f>
        <v>7.8751535293692649</v>
      </c>
      <c r="D11" s="1">
        <f>IF((D$3&gt;0),(1000*('Data Entry'!C14/'Data Entry'!C$6)), 0)</f>
        <v>4.1922290388548058</v>
      </c>
      <c r="E11" s="1">
        <f>IF((E$3&gt;0),(1000*('Data Entry'!D14/'Data Entry'!D$6)), 0)</f>
        <v>22.155943757988922</v>
      </c>
      <c r="F11" s="1">
        <f>IF((F$3&gt;0),(1000*('Data Entry'!E14/'Data Entry'!E$6)), 0)</f>
        <v>1.6652789342214822</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16.005909874415167</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Calhoun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2.2224115892628888</v>
      </c>
      <c r="E19" s="72" t="str">
        <f t="shared" si="1"/>
        <v>--</v>
      </c>
      <c r="F19" s="72" t="str">
        <f t="shared" si="1"/>
        <v>--</v>
      </c>
      <c r="G19" s="72" t="str">
        <f t="shared" si="1"/>
        <v>--</v>
      </c>
      <c r="H19" s="72" t="str">
        <f t="shared" si="1"/>
        <v>--</v>
      </c>
      <c r="I19" s="72" t="str">
        <f t="shared" si="1"/>
        <v>--</v>
      </c>
      <c r="J19" s="73">
        <f t="shared" si="1"/>
        <v>1.2844127062299926</v>
      </c>
    </row>
    <row r="20" spans="2:10" ht="15" customHeight="1">
      <c r="B20" s="71" t="s">
        <v>9</v>
      </c>
      <c r="C20" s="72">
        <f t="shared" ref="C20:J27" si="2">IF(AND(($D5&gt;0),(D5&gt;0)), (D5/$D5),"--")</f>
        <v>1</v>
      </c>
      <c r="D20" s="72">
        <f t="shared" si="2"/>
        <v>3.4856219501410868</v>
      </c>
      <c r="E20" s="72">
        <f t="shared" si="2"/>
        <v>0.20486072926649176</v>
      </c>
      <c r="F20" s="72">
        <f t="shared" si="2"/>
        <v>0.15300854219468693</v>
      </c>
      <c r="G20" s="72" t="str">
        <f t="shared" si="2"/>
        <v>--</v>
      </c>
      <c r="H20" s="72" t="str">
        <f t="shared" si="2"/>
        <v>--</v>
      </c>
      <c r="I20" s="72" t="str">
        <f t="shared" si="2"/>
        <v>--</v>
      </c>
      <c r="J20" s="73">
        <f t="shared" si="2"/>
        <v>2.5597375867083576</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f t="shared" si="2"/>
        <v>5.7504899872177244</v>
      </c>
      <c r="E22" s="72">
        <f t="shared" si="2"/>
        <v>0.48859283930058289</v>
      </c>
      <c r="F22" s="72" t="str">
        <f t="shared" si="2"/>
        <v>--</v>
      </c>
      <c r="G22" s="72" t="str">
        <f t="shared" si="2"/>
        <v>--</v>
      </c>
      <c r="H22" s="72" t="str">
        <f t="shared" si="2"/>
        <v>--</v>
      </c>
      <c r="I22" s="72" t="str">
        <f t="shared" si="2"/>
        <v>--</v>
      </c>
      <c r="J22" s="73">
        <f t="shared" si="2"/>
        <v>4.2867274070426005</v>
      </c>
    </row>
    <row r="23" spans="2:10" ht="15" customHeight="1">
      <c r="B23" s="71" t="s">
        <v>95</v>
      </c>
      <c r="C23" s="72">
        <f t="shared" si="2"/>
        <v>1</v>
      </c>
      <c r="D23" s="72">
        <f t="shared" si="2"/>
        <v>3.271883728637031</v>
      </c>
      <c r="E23" s="72">
        <f t="shared" si="2"/>
        <v>0.24128041446942367</v>
      </c>
      <c r="F23" s="72">
        <f t="shared" si="2"/>
        <v>0.18021006080707572</v>
      </c>
      <c r="G23" s="72" t="str">
        <f t="shared" si="2"/>
        <v>--</v>
      </c>
      <c r="H23" s="72" t="str">
        <f t="shared" si="2"/>
        <v>--</v>
      </c>
      <c r="I23" s="72" t="str">
        <f t="shared" si="2"/>
        <v>--</v>
      </c>
      <c r="J23" s="73">
        <f t="shared" si="2"/>
        <v>2.408273824181236</v>
      </c>
    </row>
    <row r="24" spans="2:10" ht="15" customHeight="1">
      <c r="B24" s="71" t="s">
        <v>13</v>
      </c>
      <c r="C24" s="72">
        <f t="shared" si="2"/>
        <v>1</v>
      </c>
      <c r="D24" s="72">
        <f t="shared" si="2"/>
        <v>3.4016503917289107</v>
      </c>
      <c r="E24" s="72">
        <f t="shared" si="2"/>
        <v>0.33237608115685907</v>
      </c>
      <c r="F24" s="72">
        <f t="shared" si="2"/>
        <v>0.4964971063052086</v>
      </c>
      <c r="G24" s="72" t="str">
        <f t="shared" si="2"/>
        <v>--</v>
      </c>
      <c r="H24" s="72" t="str">
        <f t="shared" si="2"/>
        <v>--</v>
      </c>
      <c r="I24" s="72" t="str">
        <f t="shared" si="2"/>
        <v>--</v>
      </c>
      <c r="J24" s="73">
        <f t="shared" si="2"/>
        <v>2.703164496529959</v>
      </c>
    </row>
    <row r="25" spans="2:10" ht="15" customHeight="1">
      <c r="B25" s="71" t="s">
        <v>14</v>
      </c>
      <c r="C25" s="72">
        <f t="shared" si="2"/>
        <v>1</v>
      </c>
      <c r="D25" s="72">
        <f t="shared" si="2"/>
        <v>3.3181839700800069</v>
      </c>
      <c r="E25" s="72">
        <f t="shared" si="2"/>
        <v>0.30160051808677957</v>
      </c>
      <c r="F25" s="72">
        <f t="shared" si="2"/>
        <v>0.45052515201768928</v>
      </c>
      <c r="G25" s="72" t="str">
        <f t="shared" si="2"/>
        <v>--</v>
      </c>
      <c r="H25" s="72" t="str">
        <f t="shared" si="2"/>
        <v>--</v>
      </c>
      <c r="I25" s="72" t="str">
        <f t="shared" si="2"/>
        <v>--</v>
      </c>
      <c r="J25" s="73">
        <f t="shared" si="2"/>
        <v>2.675859804645818</v>
      </c>
    </row>
    <row r="26" spans="2:10" ht="25.5" customHeight="1">
      <c r="B26" s="71" t="s">
        <v>15</v>
      </c>
      <c r="C26" s="72">
        <f t="shared" si="2"/>
        <v>1</v>
      </c>
      <c r="D26" s="72">
        <f t="shared" si="2"/>
        <v>5.2850031695885766</v>
      </c>
      <c r="E26" s="72">
        <f t="shared" si="2"/>
        <v>0.3972299506508804</v>
      </c>
      <c r="F26" s="72" t="str">
        <f t="shared" si="2"/>
        <v>--</v>
      </c>
      <c r="G26" s="72" t="str">
        <f t="shared" si="2"/>
        <v>--</v>
      </c>
      <c r="H26" s="72" t="str">
        <f t="shared" si="2"/>
        <v>--</v>
      </c>
      <c r="I26" s="72" t="str">
        <f t="shared" si="2"/>
        <v>--</v>
      </c>
      <c r="J26" s="73">
        <f t="shared" si="2"/>
        <v>3.8179950871165933</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Calhoun</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9780</v>
      </c>
      <c r="D7" s="104">
        <f>'Data Entry'!D6</f>
        <v>2347</v>
      </c>
      <c r="E7" s="105"/>
      <c r="F7" s="106">
        <f>'Data Entry'!E6</f>
        <v>1201</v>
      </c>
      <c r="G7" s="105"/>
      <c r="H7" s="106">
        <f>'Data Entry'!F6</f>
        <v>402</v>
      </c>
      <c r="I7" s="105"/>
      <c r="J7" s="106">
        <f>'Data Entry'!G6</f>
        <v>0</v>
      </c>
      <c r="K7" s="105"/>
      <c r="L7" s="106">
        <f>'Data Entry'!H6</f>
        <v>111</v>
      </c>
      <c r="M7" s="105"/>
      <c r="N7" s="106">
        <f>'Data Entry'!I6</f>
        <v>0</v>
      </c>
      <c r="O7" s="105"/>
      <c r="P7" s="106">
        <f>'Data Entry'!J6</f>
        <v>4061</v>
      </c>
      <c r="Q7" s="107"/>
    </row>
    <row r="8" spans="2:26" s="1" customFormat="1" ht="15" customHeight="1">
      <c r="B8" s="142" t="s">
        <v>8</v>
      </c>
      <c r="C8" s="103">
        <f>'Data Entry'!C7</f>
        <v>15</v>
      </c>
      <c r="D8" s="104">
        <f>'Data Entry'!D7</f>
        <v>8</v>
      </c>
      <c r="E8" s="105">
        <f>'Black or African-American'!$G7</f>
        <v>2.2224115892628888</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8</v>
      </c>
      <c r="Q8" s="107">
        <f>'All Minorities'!G7</f>
        <v>1.2844127062299926</v>
      </c>
      <c r="R8"/>
      <c r="T8" s="1">
        <f>'Black or African-American'!L7</f>
        <v>2</v>
      </c>
      <c r="U8" s="1">
        <f>Hispanic!L7</f>
        <v>40</v>
      </c>
      <c r="V8" s="1">
        <f>Asian!L7</f>
        <v>40</v>
      </c>
      <c r="W8" s="1" t="e">
        <f>Hawaiian!L7</f>
        <v>#VALUE!</v>
      </c>
      <c r="X8" s="1">
        <f>'Am Indian'!L7</f>
        <v>139</v>
      </c>
      <c r="Y8" s="1" t="e">
        <f>'Other - Mixed'!L7</f>
        <v>#VALUE!</v>
      </c>
      <c r="Z8" s="1">
        <f>'All Minorities'!L7</f>
        <v>2</v>
      </c>
    </row>
    <row r="9" spans="2:26" s="1" customFormat="1" ht="15" customHeight="1">
      <c r="B9" s="142" t="s">
        <v>134</v>
      </c>
      <c r="C9" s="103">
        <f>'Data Entry'!C8</f>
        <v>159</v>
      </c>
      <c r="D9" s="108">
        <f>'Data Entry'!D8</f>
        <v>133</v>
      </c>
      <c r="E9" s="109" t="str">
        <f>'Black or African-American'!$G8</f>
        <v>**</v>
      </c>
      <c r="F9" s="110">
        <f>'Data Entry'!E8</f>
        <v>4</v>
      </c>
      <c r="G9" s="109" t="str">
        <f>Hispanic!G8</f>
        <v>**</v>
      </c>
      <c r="H9" s="110">
        <f>'Data Entry'!F8</f>
        <v>1</v>
      </c>
      <c r="I9" s="109" t="str">
        <f>Asian!G8</f>
        <v>**</v>
      </c>
      <c r="J9" s="110">
        <f>'Data Entry'!G8</f>
        <v>0</v>
      </c>
      <c r="K9" s="109" t="str">
        <f>Hawaiian!G8</f>
        <v>*</v>
      </c>
      <c r="L9" s="110">
        <f>'Data Entry'!H8</f>
        <v>0</v>
      </c>
      <c r="M9" s="109" t="str">
        <f>'Am Indian'!G8</f>
        <v>*</v>
      </c>
      <c r="N9" s="110">
        <f>'Data Entry'!I8</f>
        <v>31</v>
      </c>
      <c r="O9" s="109" t="str">
        <f>'Other - Mixed'!G8</f>
        <v>*</v>
      </c>
      <c r="P9" s="110">
        <f>'Data Entry'!J8</f>
        <v>169</v>
      </c>
      <c r="Q9" s="111" t="str">
        <f>'All Minorities'!G8</f>
        <v>**</v>
      </c>
      <c r="R9"/>
      <c r="T9" s="1">
        <f>'Black or African-American'!L8</f>
        <v>40</v>
      </c>
      <c r="U9" s="1">
        <f>Hispanic!L8</f>
        <v>40</v>
      </c>
      <c r="V9" s="1">
        <f>Asian!L8</f>
        <v>40</v>
      </c>
      <c r="W9" s="1">
        <f>Hawaiian!L8</f>
        <v>139</v>
      </c>
      <c r="X9" s="1">
        <f>'Am Indian'!L8</f>
        <v>139</v>
      </c>
      <c r="Y9" s="1">
        <f>'Other - Mixed'!L8</f>
        <v>119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50</v>
      </c>
      <c r="D11" s="108">
        <f>'Data Entry'!D10</f>
        <v>69</v>
      </c>
      <c r="E11" s="109">
        <f>'Black or African-American'!$G10</f>
        <v>1.6497744360902256</v>
      </c>
      <c r="F11" s="110">
        <f>'Data Entry'!E10</f>
        <v>3</v>
      </c>
      <c r="G11" s="109" t="str">
        <f>Hispanic!G10</f>
        <v>**</v>
      </c>
      <c r="H11" s="110">
        <f>'Data Entry'!F10</f>
        <v>0</v>
      </c>
      <c r="I11" s="109" t="str">
        <f>Asian!G10</f>
        <v>**</v>
      </c>
      <c r="J11" s="110">
        <f>'Data Entry'!G10</f>
        <v>0</v>
      </c>
      <c r="K11" s="109" t="str">
        <f>Hawaiian!G10</f>
        <v>*</v>
      </c>
      <c r="L11" s="110">
        <f>'Data Entry'!H10</f>
        <v>0</v>
      </c>
      <c r="M11" s="109" t="str">
        <f>'Am Indian'!G10</f>
        <v>*</v>
      </c>
      <c r="N11" s="110">
        <f>'Data Entry'!I10</f>
        <v>17</v>
      </c>
      <c r="O11" s="109" t="str">
        <f>'Other - Mixed'!G10</f>
        <v>*</v>
      </c>
      <c r="P11" s="110">
        <f>'Data Entry'!J10</f>
        <v>89</v>
      </c>
      <c r="Q11" s="111">
        <f>'All Minorities'!G10</f>
        <v>1.6746745562130179</v>
      </c>
      <c r="R11"/>
      <c r="T11" s="1">
        <f>'Black or African-American'!L10</f>
        <v>1</v>
      </c>
      <c r="U11" s="1">
        <f>Hispanic!L10</f>
        <v>40</v>
      </c>
      <c r="V11" s="1">
        <f>Asian!L10</f>
        <v>40</v>
      </c>
      <c r="W11" s="1" t="e">
        <f>Hawaiian!L10</f>
        <v>#VALUE!</v>
      </c>
      <c r="X11" s="1" t="e">
        <f>'Am Indian'!L10</f>
        <v>#VALUE!</v>
      </c>
      <c r="Y11" s="1">
        <f>'Other - Mixed'!L10</f>
        <v>100</v>
      </c>
      <c r="Z11" s="1">
        <f>'All Minorities'!L10</f>
        <v>1</v>
      </c>
    </row>
    <row r="12" spans="2:26" s="1" customFormat="1" ht="15" customHeight="1">
      <c r="B12" s="142" t="s">
        <v>95</v>
      </c>
      <c r="C12" s="103">
        <f>'Data Entry'!C11</f>
        <v>135</v>
      </c>
      <c r="D12" s="112">
        <f>'Data Entry'!D11</f>
        <v>106</v>
      </c>
      <c r="E12" s="113">
        <f>'Black or African-American'!$G11</f>
        <v>0.93868003341687556</v>
      </c>
      <c r="F12" s="114">
        <f>'Data Entry'!E11</f>
        <v>4</v>
      </c>
      <c r="G12" s="113" t="str">
        <f>Hispanic!G11</f>
        <v>**</v>
      </c>
      <c r="H12" s="114">
        <f>'Data Entry'!F11</f>
        <v>1</v>
      </c>
      <c r="I12" s="113" t="str">
        <f>Asian!G11</f>
        <v>**</v>
      </c>
      <c r="J12" s="114">
        <f>'Data Entry'!G11</f>
        <v>0</v>
      </c>
      <c r="K12" s="113" t="str">
        <f>Hawaiian!G11</f>
        <v>*</v>
      </c>
      <c r="L12" s="114">
        <f>'Data Entry'!H11</f>
        <v>0</v>
      </c>
      <c r="M12" s="113" t="str">
        <f>'Am Indian'!G11</f>
        <v>*</v>
      </c>
      <c r="N12" s="114">
        <f>'Data Entry'!I11</f>
        <v>24</v>
      </c>
      <c r="O12" s="113" t="str">
        <f>'Other - Mixed'!G11</f>
        <v>*</v>
      </c>
      <c r="P12" s="114">
        <f>'Data Entry'!J11</f>
        <v>135</v>
      </c>
      <c r="Q12" s="115">
        <f>'All Minorities'!G11</f>
        <v>0.94082840236686405</v>
      </c>
      <c r="R12"/>
      <c r="T12" s="1">
        <f>'Black or African-American'!L11</f>
        <v>2</v>
      </c>
      <c r="U12" s="1">
        <f>Hispanic!L11</f>
        <v>40</v>
      </c>
      <c r="V12" s="1">
        <f>Asian!L11</f>
        <v>40</v>
      </c>
      <c r="W12" s="1" t="e">
        <f>Hawaiian!L11</f>
        <v>#VALUE!</v>
      </c>
      <c r="X12" s="1" t="e">
        <f>'Am Indian'!L11</f>
        <v>#VALUE!</v>
      </c>
      <c r="Y12" s="1">
        <f>'Other - Mixed'!L11</f>
        <v>101</v>
      </c>
      <c r="Z12" s="1">
        <f>'All Minorities'!L11</f>
        <v>2</v>
      </c>
    </row>
    <row r="13" spans="2:26" s="1" customFormat="1" ht="15" customHeight="1">
      <c r="B13" s="142" t="s">
        <v>13</v>
      </c>
      <c r="C13" s="103">
        <f>'Data Entry'!C12</f>
        <v>49</v>
      </c>
      <c r="D13" s="108">
        <f>'Data Entry'!D12</f>
        <v>40</v>
      </c>
      <c r="E13" s="109">
        <f>'Black or African-American'!$G12</f>
        <v>1.0396611474778592</v>
      </c>
      <c r="F13" s="110">
        <f>'Data Entry'!E12</f>
        <v>2</v>
      </c>
      <c r="G13" s="109" t="str">
        <f>Hispanic!G12</f>
        <v>**</v>
      </c>
      <c r="H13" s="110">
        <f>'Data Entry'!F12</f>
        <v>1</v>
      </c>
      <c r="I13" s="109" t="str">
        <f>Asian!G12</f>
        <v>**</v>
      </c>
      <c r="J13" s="110">
        <f>'Data Entry'!G12</f>
        <v>0</v>
      </c>
      <c r="K13" s="109" t="str">
        <f>Hawaiian!G12</f>
        <v>*</v>
      </c>
      <c r="L13" s="110">
        <f>'Data Entry'!H12</f>
        <v>0</v>
      </c>
      <c r="M13" s="109" t="str">
        <f>'Am Indian'!G12</f>
        <v>*</v>
      </c>
      <c r="N13" s="110">
        <f>'Data Entry'!I12</f>
        <v>12</v>
      </c>
      <c r="O13" s="109" t="str">
        <f>'Other - Mixed'!G12</f>
        <v>*</v>
      </c>
      <c r="P13" s="110">
        <f>'Data Entry'!J12</f>
        <v>55</v>
      </c>
      <c r="Q13" s="111">
        <f>'All Minorities'!G12</f>
        <v>1.1224489795918369</v>
      </c>
      <c r="R13"/>
      <c r="T13" s="1">
        <f>'Black or African-American'!L12</f>
        <v>2</v>
      </c>
      <c r="U13" s="1">
        <f>Hispanic!L12</f>
        <v>40</v>
      </c>
      <c r="V13" s="1">
        <f>Asian!L12</f>
        <v>40</v>
      </c>
      <c r="W13" s="1" t="e">
        <f>Hawaiian!L12</f>
        <v>#VALUE!</v>
      </c>
      <c r="X13" s="1" t="e">
        <f>'Am Indian'!L12</f>
        <v>#VALUE!</v>
      </c>
      <c r="Y13" s="1">
        <f>'Other - Mixed'!L12</f>
        <v>139</v>
      </c>
      <c r="Z13" s="1">
        <f>'All Minorities'!L12</f>
        <v>2</v>
      </c>
    </row>
    <row r="14" spans="2:26" s="1" customFormat="1" ht="15" customHeight="1">
      <c r="B14" s="142" t="s">
        <v>133</v>
      </c>
      <c r="C14" s="103">
        <f>'Data Entry'!C13</f>
        <v>54</v>
      </c>
      <c r="D14" s="112">
        <f>'Data Entry'!D13</f>
        <v>43</v>
      </c>
      <c r="E14" s="113">
        <f>'Black or African-American'!$G13</f>
        <v>0.97546296296296298</v>
      </c>
      <c r="F14" s="114">
        <f>'Data Entry'!E13</f>
        <v>2</v>
      </c>
      <c r="G14" s="113" t="str">
        <f>Hispanic!G13</f>
        <v>**</v>
      </c>
      <c r="H14" s="114">
        <f>'Data Entry'!F13</f>
        <v>1</v>
      </c>
      <c r="I14" s="113" t="str">
        <f>Asian!G13</f>
        <v>**</v>
      </c>
      <c r="J14" s="114">
        <f>'Data Entry'!G13</f>
        <v>0</v>
      </c>
      <c r="K14" s="113" t="str">
        <f>Hawaiian!G13</f>
        <v>*</v>
      </c>
      <c r="L14" s="114">
        <f>'Data Entry'!H13</f>
        <v>0</v>
      </c>
      <c r="M14" s="113" t="str">
        <f>'Am Indian'!G13</f>
        <v>*</v>
      </c>
      <c r="N14" s="114">
        <f>'Data Entry'!I13</f>
        <v>14</v>
      </c>
      <c r="O14" s="113" t="str">
        <f>'Other - Mixed'!G13</f>
        <v>*</v>
      </c>
      <c r="P14" s="114">
        <f>'Data Entry'!J13</f>
        <v>60</v>
      </c>
      <c r="Q14" s="115">
        <f>'All Minorities'!G13</f>
        <v>0.98989898989898983</v>
      </c>
      <c r="R14"/>
      <c r="T14" s="1">
        <f>'Black or African-American'!L13</f>
        <v>2</v>
      </c>
      <c r="U14" s="1">
        <f>Hispanic!L13</f>
        <v>40</v>
      </c>
      <c r="V14" s="1">
        <f>Asian!L13</f>
        <v>40</v>
      </c>
      <c r="W14" s="1" t="e">
        <f>Hawaiian!L13</f>
        <v>#VALUE!</v>
      </c>
      <c r="X14" s="1" t="e">
        <f>'Am Indian'!L13</f>
        <v>#VALUE!</v>
      </c>
      <c r="Y14" s="1">
        <f>'Other - Mixed'!L13</f>
        <v>139</v>
      </c>
      <c r="Z14" s="1">
        <f>'All Minorities'!L13</f>
        <v>2</v>
      </c>
    </row>
    <row r="15" spans="2:26" s="1" customFormat="1" ht="33">
      <c r="B15" s="144" t="s">
        <v>123</v>
      </c>
      <c r="C15" s="103">
        <f>'Data Entry'!C14</f>
        <v>41</v>
      </c>
      <c r="D15" s="108">
        <f>'Data Entry'!D14</f>
        <v>52</v>
      </c>
      <c r="E15" s="109">
        <f>'Black or African-American'!$G14</f>
        <v>1.5536585365853659</v>
      </c>
      <c r="F15" s="110">
        <f>'Data Entry'!E14</f>
        <v>2</v>
      </c>
      <c r="G15" s="109" t="str">
        <f>Hispanic!G14</f>
        <v>**</v>
      </c>
      <c r="H15" s="110">
        <f>'Data Entry'!F14</f>
        <v>0</v>
      </c>
      <c r="I15" s="109" t="str">
        <f>Asian!G14</f>
        <v>**</v>
      </c>
      <c r="J15" s="110">
        <f>'Data Entry'!G14</f>
        <v>0</v>
      </c>
      <c r="K15" s="109" t="str">
        <f>Hawaiian!G14</f>
        <v>*</v>
      </c>
      <c r="L15" s="110">
        <f>'Data Entry'!H14</f>
        <v>0</v>
      </c>
      <c r="M15" s="109" t="str">
        <f>'Am Indian'!G14</f>
        <v>*</v>
      </c>
      <c r="N15" s="110">
        <f>'Data Entry'!I14</f>
        <v>11</v>
      </c>
      <c r="O15" s="109" t="str">
        <f>'Other - Mixed'!G14</f>
        <v>*</v>
      </c>
      <c r="P15" s="110">
        <f>'Data Entry'!J14</f>
        <v>65</v>
      </c>
      <c r="Q15" s="111">
        <f>'All Minorities'!G14</f>
        <v>1.4124168514412416</v>
      </c>
      <c r="R15"/>
      <c r="T15" s="1">
        <f>'Black or African-American'!L14</f>
        <v>1</v>
      </c>
      <c r="U15" s="1">
        <f>Hispanic!L14</f>
        <v>40</v>
      </c>
      <c r="V15" s="1">
        <f>Asian!L14</f>
        <v>20</v>
      </c>
      <c r="W15" s="1" t="e">
        <f>Hawaiian!L14</f>
        <v>#VALUE!</v>
      </c>
      <c r="X15" s="1" t="e">
        <f>'Am Indian'!L14</f>
        <v>#VALUE!</v>
      </c>
      <c r="Y15" s="1">
        <f>'Other - Mixed'!L14</f>
        <v>139</v>
      </c>
      <c r="Z15" s="1">
        <f>'All Minorities'!L14</f>
        <v>1</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Calhoun</v>
      </c>
    </row>
    <row r="6" spans="1:12">
      <c r="A6" s="135" t="str">
        <f>CONCATENATE("Percentage of Minorities at Stages of the Juvenile Justice System, ", A5, " 2022")</f>
        <v>Percentage of Minorities at Stages of the Juvenile Justice System, County: Calhoun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2.408273824181236</v>
      </c>
    </row>
    <row r="8" spans="1:12" ht="25.5" customHeight="1">
      <c r="A8" s="151" t="str">
        <f>CONCATENATE("Confinement, total N=", 'Data Entry'!B14)</f>
        <v>Confinement, total N=109</v>
      </c>
      <c r="B8" s="150">
        <f>'Data Entry'!D14/'Data Entry'!B14</f>
        <v>0.47706422018348627</v>
      </c>
      <c r="C8" s="150">
        <f>'Data Entry'!E14/'Data Entry'!B14</f>
        <v>1.834862385321101E-2</v>
      </c>
      <c r="D8" s="150">
        <f>'Data Entry'!F14/'Data Entry'!B14</f>
        <v>0</v>
      </c>
      <c r="E8" s="150">
        <f>'Data Entry'!G14/'Data Entry'!B14</f>
        <v>0</v>
      </c>
      <c r="F8" s="150">
        <f>'Data Entry'!H14/'Data Entry'!B14</f>
        <v>0</v>
      </c>
      <c r="G8" s="150">
        <f>'Data Entry'!I14/'Data Entry'!B14</f>
        <v>0.10091743119266056</v>
      </c>
      <c r="H8" s="150">
        <f>SUM(D8:G8)/'Data Entry'!B14</f>
        <v>9.258479925932161E-4</v>
      </c>
      <c r="I8" s="150">
        <f>'Data Entry'!C14/'Data Entry'!B14</f>
        <v>0.37614678899082571</v>
      </c>
      <c r="K8" s="96" t="str">
        <f>A8</f>
        <v>Confinement, total N=109</v>
      </c>
      <c r="L8">
        <f>I14/(SUM(B14:G14))</f>
        <v>2.408273824181236</v>
      </c>
    </row>
    <row r="9" spans="1:12">
      <c r="A9" s="128" t="str">
        <f>CONCATENATE("Delinquent Findings, total N=", 'Data Entry'!B12)</f>
        <v>Delinquent Findings, total N=107</v>
      </c>
      <c r="B9" s="150">
        <f>'Data Entry'!D12/'Data Entry'!B12</f>
        <v>0.37383177570093457</v>
      </c>
      <c r="C9" s="150">
        <f>'Data Entry'!E12/'Data Entry'!B12</f>
        <v>1.8691588785046728E-2</v>
      </c>
      <c r="D9" s="150">
        <f>'Data Entry'!F12/'Data Entry'!B12</f>
        <v>9.3457943925233638E-3</v>
      </c>
      <c r="E9" s="150">
        <f>'Data Entry'!G12/'Data Entry'!B12</f>
        <v>0</v>
      </c>
      <c r="F9" s="150">
        <f>'Data Entry'!H12/'Data Entry'!B12</f>
        <v>0</v>
      </c>
      <c r="G9" s="150">
        <f>'Data Entry'!I12/'Data Entry'!B12</f>
        <v>0.11214953271028037</v>
      </c>
      <c r="H9" s="150">
        <f>SUM(D9:G9)/'Data Entry'!B12</f>
        <v>1.1354703467551751E-3</v>
      </c>
      <c r="I9" s="150">
        <f>'Data Entry'!C12/'Data Entry'!B12</f>
        <v>0.45794392523364486</v>
      </c>
      <c r="K9" s="96" t="str">
        <f t="shared" si="0"/>
        <v>Delinquent Findings, total N=107</v>
      </c>
      <c r="L9">
        <f>I14/(SUM(B14:G14))</f>
        <v>2.408273824181236</v>
      </c>
    </row>
    <row r="10" spans="1:12">
      <c r="A10" s="128" t="str">
        <f>CONCATENATE("Petitions, total N=", 'Data Entry'!B11)</f>
        <v>Petitions, total N=284</v>
      </c>
      <c r="B10" s="150">
        <f>'Data Entry'!D11/'Data Entry'!B11</f>
        <v>0.37323943661971831</v>
      </c>
      <c r="C10" s="150">
        <f>'Data Entry'!E11/'Data Entry'!B11</f>
        <v>1.4084507042253521E-2</v>
      </c>
      <c r="D10" s="150">
        <f>'Data Entry'!F11/'Data Entry'!B11</f>
        <v>3.5211267605633804E-3</v>
      </c>
      <c r="E10" s="150">
        <f>'Data Entry'!G11/'Data Entry'!B11</f>
        <v>0</v>
      </c>
      <c r="F10" s="150">
        <f>'Data Entry'!H11/'Data Entry'!B11</f>
        <v>0</v>
      </c>
      <c r="G10" s="150">
        <f>'Data Entry'!I11/'Data Entry'!B11</f>
        <v>8.4507042253521125E-2</v>
      </c>
      <c r="H10" s="150">
        <f>SUM(D10:G10)/'Data Entry'!B11</f>
        <v>3.0995834159888908E-4</v>
      </c>
      <c r="I10" s="150">
        <f>'Data Entry'!C11/'Data Entry'!B11</f>
        <v>0.47535211267605632</v>
      </c>
      <c r="K10" s="96" t="str">
        <f t="shared" si="0"/>
        <v>Petitions, total N=284</v>
      </c>
      <c r="L10">
        <f>I14/(SUM(B14:G14))</f>
        <v>2.408273824181236</v>
      </c>
    </row>
    <row r="11" spans="1:12">
      <c r="A11" s="128" t="str">
        <f>CONCATENATE("Detentions, total N=", 'Data Entry'!B10)</f>
        <v>Detentions, total N=143</v>
      </c>
      <c r="B11" s="150">
        <f>'Data Entry'!D10/'Data Entry'!B10</f>
        <v>0.4825174825174825</v>
      </c>
      <c r="C11" s="150">
        <f>'Data Entry'!E10/'Data Entry'!B10</f>
        <v>2.097902097902098E-2</v>
      </c>
      <c r="D11" s="150">
        <f>'Data Entry'!F10/'Data Entry'!B10</f>
        <v>0</v>
      </c>
      <c r="E11" s="150">
        <f>'Data Entry'!G10/'Data Entry'!B10</f>
        <v>0</v>
      </c>
      <c r="F11" s="150">
        <f>'Data Entry'!H10/'Data Entry'!B10</f>
        <v>0</v>
      </c>
      <c r="G11" s="150">
        <f>'Data Entry'!I10/'Data Entry'!B10</f>
        <v>0.11888111888111888</v>
      </c>
      <c r="H11" s="150">
        <f>SUM(D11:G11)/'Data Entry'!B10</f>
        <v>8.3133649567216001E-4</v>
      </c>
      <c r="I11" s="150">
        <f>'Data Entry'!C10/'Data Entry'!B10</f>
        <v>0.34965034965034963</v>
      </c>
      <c r="K11" s="96" t="str">
        <f t="shared" si="0"/>
        <v>Detentions, total N=143</v>
      </c>
      <c r="L11">
        <f>I14/(SUM(B14:G14))</f>
        <v>2.408273824181236</v>
      </c>
    </row>
    <row r="12" spans="1:12">
      <c r="A12" s="128" t="str">
        <f>CONCATENATE("Referrals, total N=", 'Data Entry'!B8)</f>
        <v>Referrals, total N=344</v>
      </c>
      <c r="B12" s="150">
        <f>'Data Entry'!D8/'Data Entry'!B8</f>
        <v>0.38662790697674421</v>
      </c>
      <c r="C12" s="150">
        <f>'Data Entry'!E8/'Data Entry'!B8</f>
        <v>1.1627906976744186E-2</v>
      </c>
      <c r="D12" s="150">
        <f>'Data Entry'!F8/'Data Entry'!B8</f>
        <v>2.9069767441860465E-3</v>
      </c>
      <c r="E12" s="150">
        <f>'Data Entry'!G8/'Data Entry'!B8</f>
        <v>0</v>
      </c>
      <c r="F12" s="150">
        <f>'Data Entry'!H8/'Data Entry'!B8</f>
        <v>0</v>
      </c>
      <c r="G12" s="150">
        <f>'Data Entry'!I8/'Data Entry'!B8</f>
        <v>9.0116279069767435E-2</v>
      </c>
      <c r="H12" s="150">
        <f>SUM(D12:G12)/'Data Entry'!B8</f>
        <v>2.7041644131963225E-4</v>
      </c>
      <c r="I12" s="150">
        <f>'Data Entry'!C8/'Data Entry'!B8</f>
        <v>0.46220930232558138</v>
      </c>
      <c r="K12" s="96" t="str">
        <f t="shared" si="0"/>
        <v>Referrals, total N=344</v>
      </c>
      <c r="L12">
        <f>I14/(SUM(B14:G14))</f>
        <v>2.408273824181236</v>
      </c>
    </row>
    <row r="13" spans="1:12">
      <c r="A13" s="128" t="str">
        <f>CONCATENATE("Arrests, total N=", 'Data Entry'!B7)</f>
        <v>Arrests, total N=23</v>
      </c>
      <c r="B13" s="150">
        <f>'Data Entry'!D7/'Data Entry'!B7</f>
        <v>0.34782608695652173</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0.65217391304347827</v>
      </c>
      <c r="K13" s="96" t="str">
        <f t="shared" si="0"/>
        <v>Arrests, total N=23</v>
      </c>
      <c r="L13">
        <f>I14/(SUM(B14:G14))</f>
        <v>2.408273824181236</v>
      </c>
    </row>
    <row r="14" spans="1:12">
      <c r="A14" s="128" t="str">
        <f>CONCATENATE("Population, total N=", 'Data Entry'!B6)</f>
        <v>Population, total N=13841</v>
      </c>
      <c r="B14" s="150">
        <f>'Data Entry'!D6/'Data Entry'!B6</f>
        <v>0.1695686727837584</v>
      </c>
      <c r="C14" s="150">
        <f>'Data Entry'!E6/'Data Entry'!B6</f>
        <v>8.6771187052958595E-2</v>
      </c>
      <c r="D14" s="150">
        <f>'Data Entry'!F6/'Data Entry'!B6</f>
        <v>2.9044144209233437E-2</v>
      </c>
      <c r="E14" s="150">
        <f>'Data Entry'!G6/'Data Entry'!B6</f>
        <v>0</v>
      </c>
      <c r="F14" s="150">
        <f>'Data Entry'!H6/'Data Entry'!B6</f>
        <v>8.0196517592659496E-3</v>
      </c>
      <c r="G14" s="150">
        <f>'Data Entry'!I6/'Data Entry'!B6</f>
        <v>0</v>
      </c>
      <c r="H14" s="150">
        <f>SUM(D14:G14)/'Data Entry'!B6</f>
        <v>2.6778264553500029E-6</v>
      </c>
      <c r="I14" s="150">
        <f>'Data Entry'!C6/'Data Entry'!B6</f>
        <v>0.70659634419478357</v>
      </c>
      <c r="K14" s="96" t="str">
        <f t="shared" si="0"/>
        <v>Population, total N=13841</v>
      </c>
      <c r="L14">
        <f>I14/(SUM(B14:G14))</f>
        <v>2.408273824181236</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Calhoun</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9780</v>
      </c>
      <c r="D7" s="104">
        <f>'Data Entry'!D6</f>
        <v>2347</v>
      </c>
      <c r="E7" s="105"/>
      <c r="F7" s="106">
        <f>'Data Entry'!E6</f>
        <v>1201</v>
      </c>
      <c r="G7" s="105"/>
      <c r="H7" s="106">
        <f>'Data Entry'!F6</f>
        <v>402</v>
      </c>
      <c r="I7" s="105"/>
      <c r="J7" s="106">
        <f>'Data Entry'!J6</f>
        <v>4061</v>
      </c>
      <c r="K7" s="107"/>
    </row>
    <row r="8" spans="2:30" s="1" customFormat="1" ht="15" customHeight="1">
      <c r="B8" s="121" t="s">
        <v>8</v>
      </c>
      <c r="C8" s="103">
        <f>'Data Entry'!C7</f>
        <v>15</v>
      </c>
      <c r="D8" s="104">
        <f>'Data Entry'!D7</f>
        <v>8</v>
      </c>
      <c r="E8" s="105">
        <f>'Black or African-American'!$G7</f>
        <v>2.2224115892628888</v>
      </c>
      <c r="F8" s="106">
        <f>'Data Entry'!E7</f>
        <v>0</v>
      </c>
      <c r="G8" s="105" t="str">
        <f>Hispanic!G7</f>
        <v>**</v>
      </c>
      <c r="H8" s="106">
        <f>'Data Entry'!F7</f>
        <v>0</v>
      </c>
      <c r="I8" s="105" t="str">
        <f>Asian!G7</f>
        <v>**</v>
      </c>
      <c r="J8" s="106">
        <f>'Data Entry'!J7</f>
        <v>8</v>
      </c>
      <c r="K8" s="107">
        <f>'All Minorities'!G7</f>
        <v>1.2844127062299926</v>
      </c>
      <c r="L8"/>
      <c r="N8" s="1">
        <f>'Black or African-American'!L7</f>
        <v>2</v>
      </c>
      <c r="O8" s="1">
        <f>Hispanic!L7</f>
        <v>40</v>
      </c>
      <c r="P8" s="1">
        <f>Asian!L7</f>
        <v>40</v>
      </c>
      <c r="Q8" s="1" t="e">
        <f>Hawaiian!L7</f>
        <v>#VALUE!</v>
      </c>
      <c r="R8" s="1">
        <f>'Am Indian'!L7</f>
        <v>139</v>
      </c>
      <c r="S8" s="1" t="e">
        <f>'Other - Mixed'!L7</f>
        <v>#VALUE!</v>
      </c>
      <c r="T8" s="1">
        <f>'All Minorities'!L7</f>
        <v>2</v>
      </c>
    </row>
    <row r="9" spans="2:30" s="1" customFormat="1" ht="15" customHeight="1">
      <c r="B9" s="121" t="s">
        <v>134</v>
      </c>
      <c r="C9" s="103">
        <f>'Data Entry'!C8</f>
        <v>159</v>
      </c>
      <c r="D9" s="108">
        <f>'Data Entry'!D8</f>
        <v>133</v>
      </c>
      <c r="E9" s="109" t="str">
        <f>'Black or African-American'!$G8</f>
        <v>**</v>
      </c>
      <c r="F9" s="110">
        <f>'Data Entry'!E8</f>
        <v>4</v>
      </c>
      <c r="G9" s="109" t="str">
        <f>Hispanic!G8</f>
        <v>**</v>
      </c>
      <c r="H9" s="110">
        <f>'Data Entry'!F8</f>
        <v>1</v>
      </c>
      <c r="I9" s="109" t="str">
        <f>Asian!G8</f>
        <v>**</v>
      </c>
      <c r="J9" s="110">
        <f>'Data Entry'!J8</f>
        <v>169</v>
      </c>
      <c r="K9" s="111" t="str">
        <f>'All Minorities'!G8</f>
        <v>**</v>
      </c>
      <c r="L9"/>
      <c r="N9" s="1">
        <f>'Black or African-American'!L8</f>
        <v>40</v>
      </c>
      <c r="O9" s="1">
        <f>Hispanic!L8</f>
        <v>40</v>
      </c>
      <c r="P9" s="1">
        <f>Asian!L8</f>
        <v>40</v>
      </c>
      <c r="Q9" s="1">
        <f>Hawaiian!L8</f>
        <v>139</v>
      </c>
      <c r="R9" s="1">
        <f>'Am Indian'!L8</f>
        <v>139</v>
      </c>
      <c r="S9" s="1">
        <f>'Other - Mixed'!L8</f>
        <v>119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50</v>
      </c>
      <c r="D11" s="108">
        <f>'Data Entry'!D10</f>
        <v>69</v>
      </c>
      <c r="E11" s="109">
        <f>'Black or African-American'!$G10</f>
        <v>1.6497744360902256</v>
      </c>
      <c r="F11" s="110">
        <f>'Data Entry'!E10</f>
        <v>3</v>
      </c>
      <c r="G11" s="109" t="str">
        <f>Hispanic!G10</f>
        <v>**</v>
      </c>
      <c r="H11" s="110">
        <f>'Data Entry'!F10</f>
        <v>0</v>
      </c>
      <c r="I11" s="109" t="str">
        <f>Asian!G10</f>
        <v>**</v>
      </c>
      <c r="J11" s="110">
        <f>'Data Entry'!J10</f>
        <v>89</v>
      </c>
      <c r="K11" s="111">
        <f>'All Minorities'!G10</f>
        <v>1.6746745562130179</v>
      </c>
      <c r="L11"/>
      <c r="N11" s="1">
        <f>'Black or African-American'!L10</f>
        <v>1</v>
      </c>
      <c r="O11" s="1">
        <f>Hispanic!L10</f>
        <v>40</v>
      </c>
      <c r="P11" s="1">
        <f>Asian!L10</f>
        <v>40</v>
      </c>
      <c r="Q11" s="1" t="e">
        <f>Hawaiian!L10</f>
        <v>#VALUE!</v>
      </c>
      <c r="R11" s="1" t="e">
        <f>'Am Indian'!L10</f>
        <v>#VALUE!</v>
      </c>
      <c r="S11" s="1">
        <f>'Other - Mixed'!L10</f>
        <v>100</v>
      </c>
      <c r="T11" s="1">
        <f>'All Minorities'!L10</f>
        <v>1</v>
      </c>
    </row>
    <row r="12" spans="2:30" s="1" customFormat="1" ht="15" customHeight="1">
      <c r="B12" s="121" t="s">
        <v>95</v>
      </c>
      <c r="C12" s="103">
        <f>'Data Entry'!C11</f>
        <v>135</v>
      </c>
      <c r="D12" s="112">
        <f>'Data Entry'!D11</f>
        <v>106</v>
      </c>
      <c r="E12" s="113">
        <f>'Black or African-American'!$G11</f>
        <v>0.93868003341687556</v>
      </c>
      <c r="F12" s="114">
        <f>'Data Entry'!E11</f>
        <v>4</v>
      </c>
      <c r="G12" s="113" t="str">
        <f>Hispanic!G11</f>
        <v>**</v>
      </c>
      <c r="H12" s="114">
        <f>'Data Entry'!F11</f>
        <v>1</v>
      </c>
      <c r="I12" s="113" t="str">
        <f>Asian!G11</f>
        <v>**</v>
      </c>
      <c r="J12" s="114">
        <f>'Data Entry'!J11</f>
        <v>135</v>
      </c>
      <c r="K12" s="115">
        <f>'All Minorities'!G11</f>
        <v>0.94082840236686405</v>
      </c>
      <c r="L12"/>
      <c r="N12" s="1">
        <f>'Black or African-American'!L11</f>
        <v>2</v>
      </c>
      <c r="O12" s="1">
        <f>Hispanic!L11</f>
        <v>40</v>
      </c>
      <c r="P12" s="1">
        <f>Asian!L11</f>
        <v>40</v>
      </c>
      <c r="Q12" s="1" t="e">
        <f>Hawaiian!L11</f>
        <v>#VALUE!</v>
      </c>
      <c r="R12" s="1" t="e">
        <f>'Am Indian'!L11</f>
        <v>#VALUE!</v>
      </c>
      <c r="S12" s="1">
        <f>'Other - Mixed'!L11</f>
        <v>101</v>
      </c>
      <c r="T12" s="1">
        <f>'All Minorities'!L11</f>
        <v>2</v>
      </c>
    </row>
    <row r="13" spans="2:30" s="1" customFormat="1" ht="15" customHeight="1">
      <c r="B13" s="121" t="s">
        <v>13</v>
      </c>
      <c r="C13" s="103">
        <f>'Data Entry'!C12</f>
        <v>49</v>
      </c>
      <c r="D13" s="108">
        <f>'Data Entry'!D12</f>
        <v>40</v>
      </c>
      <c r="E13" s="109">
        <f>'Black or African-American'!$G12</f>
        <v>1.0396611474778592</v>
      </c>
      <c r="F13" s="110">
        <f>'Data Entry'!E12</f>
        <v>2</v>
      </c>
      <c r="G13" s="109" t="str">
        <f>Hispanic!G12</f>
        <v>**</v>
      </c>
      <c r="H13" s="110">
        <f>'Data Entry'!F12</f>
        <v>1</v>
      </c>
      <c r="I13" s="109" t="str">
        <f>Asian!G12</f>
        <v>**</v>
      </c>
      <c r="J13" s="110">
        <f>'Data Entry'!J12</f>
        <v>55</v>
      </c>
      <c r="K13" s="111">
        <f>'All Minorities'!G12</f>
        <v>1.1224489795918369</v>
      </c>
      <c r="L13"/>
      <c r="N13" s="1">
        <f>'Black or African-American'!L12</f>
        <v>2</v>
      </c>
      <c r="O13" s="1">
        <f>Hispanic!L12</f>
        <v>40</v>
      </c>
      <c r="P13" s="1">
        <f>Asian!L12</f>
        <v>40</v>
      </c>
      <c r="Q13" s="1" t="e">
        <f>Hawaiian!L12</f>
        <v>#VALUE!</v>
      </c>
      <c r="R13" s="1" t="e">
        <f>'Am Indian'!L12</f>
        <v>#VALUE!</v>
      </c>
      <c r="S13" s="1">
        <f>'Other - Mixed'!L12</f>
        <v>139</v>
      </c>
      <c r="T13" s="1">
        <f>'All Minorities'!L12</f>
        <v>2</v>
      </c>
      <c r="W13" s="8"/>
      <c r="X13" s="8"/>
      <c r="Y13" s="8"/>
      <c r="Z13" s="8"/>
      <c r="AA13" s="8"/>
      <c r="AB13" s="8"/>
      <c r="AC13" s="8"/>
      <c r="AD13" s="8"/>
    </row>
    <row r="14" spans="2:30" s="1" customFormat="1" ht="15" customHeight="1">
      <c r="B14" s="121" t="s">
        <v>14</v>
      </c>
      <c r="C14" s="103">
        <f>'Data Entry'!C13</f>
        <v>54</v>
      </c>
      <c r="D14" s="112">
        <f>'Data Entry'!D13</f>
        <v>43</v>
      </c>
      <c r="E14" s="113">
        <f>'Black or African-American'!$G13</f>
        <v>0.97546296296296298</v>
      </c>
      <c r="F14" s="114">
        <f>'Data Entry'!E13</f>
        <v>2</v>
      </c>
      <c r="G14" s="113" t="str">
        <f>Hispanic!G13</f>
        <v>**</v>
      </c>
      <c r="H14" s="114">
        <f>'Data Entry'!F13</f>
        <v>1</v>
      </c>
      <c r="I14" s="113" t="str">
        <f>Asian!G13</f>
        <v>**</v>
      </c>
      <c r="J14" s="114">
        <f>'Data Entry'!J13</f>
        <v>60</v>
      </c>
      <c r="K14" s="115">
        <f>'All Minorities'!G13</f>
        <v>0.98989898989898983</v>
      </c>
      <c r="L14"/>
      <c r="N14" s="1">
        <f>'Black or African-American'!L13</f>
        <v>2</v>
      </c>
      <c r="O14" s="1">
        <f>Hispanic!L13</f>
        <v>40</v>
      </c>
      <c r="P14" s="1">
        <f>Asian!L13</f>
        <v>40</v>
      </c>
      <c r="Q14" s="1" t="e">
        <f>Hawaiian!L13</f>
        <v>#VALUE!</v>
      </c>
      <c r="R14" s="1" t="e">
        <f>'Am Indian'!L13</f>
        <v>#VALUE!</v>
      </c>
      <c r="S14" s="1">
        <f>'Other - Mixed'!L13</f>
        <v>139</v>
      </c>
      <c r="T14" s="1">
        <f>'All Minorities'!L13</f>
        <v>2</v>
      </c>
      <c r="W14" s="8"/>
      <c r="X14" s="8"/>
      <c r="Y14" s="8"/>
      <c r="Z14" s="8"/>
      <c r="AA14" s="8"/>
      <c r="AB14" s="8"/>
      <c r="AC14" s="8"/>
      <c r="AD14" s="8"/>
    </row>
    <row r="15" spans="2:30" s="1" customFormat="1" ht="33">
      <c r="B15" s="126" t="s">
        <v>123</v>
      </c>
      <c r="C15" s="103">
        <f>'Data Entry'!C14</f>
        <v>41</v>
      </c>
      <c r="D15" s="108">
        <f>'Data Entry'!D14</f>
        <v>52</v>
      </c>
      <c r="E15" s="109">
        <f>'Black or African-American'!$G14</f>
        <v>1.5536585365853659</v>
      </c>
      <c r="F15" s="110">
        <f>'Data Entry'!E14</f>
        <v>2</v>
      </c>
      <c r="G15" s="109" t="str">
        <f>Hispanic!G14</f>
        <v>**</v>
      </c>
      <c r="H15" s="110">
        <f>'Data Entry'!F14</f>
        <v>0</v>
      </c>
      <c r="I15" s="109" t="str">
        <f>Asian!G14</f>
        <v>**</v>
      </c>
      <c r="J15" s="110">
        <f>'Data Entry'!J14</f>
        <v>65</v>
      </c>
      <c r="K15" s="111">
        <f>'All Minorities'!G14</f>
        <v>1.4124168514412416</v>
      </c>
      <c r="L15"/>
      <c r="N15" s="1">
        <f>'Black or African-American'!L14</f>
        <v>1</v>
      </c>
      <c r="O15" s="1">
        <f>Hispanic!L14</f>
        <v>40</v>
      </c>
      <c r="P15" s="1">
        <f>Asian!L14</f>
        <v>20</v>
      </c>
      <c r="Q15" s="1" t="e">
        <f>Hawaiian!L14</f>
        <v>#VALUE!</v>
      </c>
      <c r="R15" s="1" t="e">
        <f>'Am Indian'!L14</f>
        <v>#VALUE!</v>
      </c>
      <c r="S15" s="1">
        <f>'Other - Mixed'!L14</f>
        <v>139</v>
      </c>
      <c r="T15" s="1">
        <f>'All Minorities'!L14</f>
        <v>1</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Calhoun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9780</v>
      </c>
      <c r="D6" s="34"/>
      <c r="E6" s="33">
        <f>'Data Entry'!D6</f>
        <v>2347</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1.5337423312883436</v>
      </c>
      <c r="E7" s="33">
        <f>'Data Entry'!D7</f>
        <v>8</v>
      </c>
      <c r="F7" s="34">
        <f>IF((AND($E$7&gt;0,$D$66&gt;0)),($E$7/$D$66),0)</f>
        <v>3.4086067319982956</v>
      </c>
      <c r="G7" s="39">
        <f>IF(L$6=100,"*",IF(M7=FALSE,"--",IF(K7=20,"**",($F7/$D7))))</f>
        <v>2.2224115892628888</v>
      </c>
      <c r="H7" s="40"/>
      <c r="I7" s="41"/>
      <c r="J7" s="40">
        <f>IF((ABS($U7)&gt;Defaults!D$7),1,2)</f>
        <v>2</v>
      </c>
      <c r="K7" s="39">
        <f>IF((AND(N7&gt;Defaults!B$12,(N7+O7)&gt;Defaults!B$13, P7 &gt; Defaults!B$12, (P7+Q7) &gt; Defaults!B$13)),1,20)</f>
        <v>1</v>
      </c>
      <c r="L7" s="1">
        <f>(J7*K7+L$6)-1</f>
        <v>2</v>
      </c>
      <c r="M7" s="1" t="b">
        <f t="shared" ref="M7:M15" si="0">(ISNUMBER(J7))</f>
        <v>1</v>
      </c>
      <c r="N7" s="42">
        <f t="shared" ref="N7:N15" si="1">E7</f>
        <v>8</v>
      </c>
      <c r="O7" s="42">
        <f>E6-E7</f>
        <v>2339</v>
      </c>
      <c r="P7" s="42">
        <f t="shared" ref="P7:P15" si="2">C7</f>
        <v>15</v>
      </c>
      <c r="Q7" s="42">
        <f>C6-C7</f>
        <v>9765</v>
      </c>
      <c r="R7" s="42">
        <f t="shared" ref="R7:R15" si="3">SUM(N7:Q7)</f>
        <v>12127</v>
      </c>
      <c r="S7" s="30">
        <f t="shared" ref="S7:S15" si="4">R7*((((N7*Q7)-(O7*P7))^2))</f>
        <v>22459340125575</v>
      </c>
      <c r="T7" s="30">
        <f t="shared" ref="T7:T15" si="5">(N7+O7)*(P7+Q7)*(N7+P7)*(O7+Q7)</f>
        <v>6390115314720</v>
      </c>
      <c r="U7" s="31">
        <f t="shared" ref="U7:U15" si="6">IF((S7&gt;0),S7/T7,"- -")</f>
        <v>3.5147002862121459</v>
      </c>
    </row>
    <row r="8" spans="2:21" ht="18" customHeight="1">
      <c r="B8" s="32" t="str">
        <f>'Data Entry'!A8</f>
        <v>3. Refer to Juvenile Court</v>
      </c>
      <c r="C8" s="33">
        <f>'Data Entry'!C8</f>
        <v>159</v>
      </c>
      <c r="D8" s="34">
        <f>IF((AND(C67&gt;0,C8&gt;0)),(C8/C67),0)</f>
        <v>1060</v>
      </c>
      <c r="E8" s="33">
        <f>'Data Entry'!D8</f>
        <v>133</v>
      </c>
      <c r="F8" s="34">
        <f>IF((AND($E$8&gt;0,$D$67&gt;0)),($E8/$D67),0)</f>
        <v>1662.5</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133</v>
      </c>
      <c r="O8" s="42">
        <f>((D67*L67)-E8)+0.05</f>
        <v>-124.95</v>
      </c>
      <c r="P8" s="42">
        <f t="shared" si="2"/>
        <v>159</v>
      </c>
      <c r="Q8" s="42">
        <f>(C$67*L67)-C8</f>
        <v>-144</v>
      </c>
      <c r="R8" s="42">
        <f t="shared" si="3"/>
        <v>23.050000000000011</v>
      </c>
      <c r="S8" s="30">
        <f t="shared" si="4"/>
        <v>11785384.382624982</v>
      </c>
      <c r="T8" s="30">
        <f t="shared" si="5"/>
        <v>-9482908.0499999952</v>
      </c>
      <c r="U8" s="31">
        <f t="shared" si="6"/>
        <v>-1.2428027689907832</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133</v>
      </c>
      <c r="P9" s="42">
        <f t="shared" si="2"/>
        <v>0</v>
      </c>
      <c r="Q9" s="42">
        <f>(C$68*L68)-C9</f>
        <v>159</v>
      </c>
      <c r="R9" s="42">
        <f t="shared" si="3"/>
        <v>292</v>
      </c>
      <c r="S9" s="30">
        <f t="shared" si="4"/>
        <v>0</v>
      </c>
      <c r="T9" s="30">
        <f t="shared" si="5"/>
        <v>0</v>
      </c>
      <c r="U9" s="31" t="str">
        <f t="shared" si="6"/>
        <v>- -</v>
      </c>
    </row>
    <row r="10" spans="2:21" ht="18" customHeight="1">
      <c r="B10" s="32" t="str">
        <f>'Data Entry'!A10</f>
        <v>5. Cases Involving Secure Detention</v>
      </c>
      <c r="C10" s="33">
        <f>'Data Entry'!C10</f>
        <v>50</v>
      </c>
      <c r="D10" s="34">
        <f>IF(((AND(C68&gt;0,C10&gt;0))),(C10/(C68)),0)</f>
        <v>31.446540880503143</v>
      </c>
      <c r="E10" s="33">
        <f>'Data Entry'!D10</f>
        <v>69</v>
      </c>
      <c r="F10" s="34">
        <f>IF(((AND($E$10&gt;0,$D$68&gt;0))),($E$10/($D$68)),0)</f>
        <v>51.879699248120296</v>
      </c>
      <c r="G10" s="39">
        <f t="shared" si="7"/>
        <v>1.6497744360902256</v>
      </c>
      <c r="H10" s="40"/>
      <c r="I10" s="41"/>
      <c r="J10" s="40">
        <f>IF((ABS($U10)&gt;Defaults!D$7),1,2)</f>
        <v>1</v>
      </c>
      <c r="K10" s="39">
        <f>IF((AND(N10&gt;Defaults!B$12,(N10+O10)&gt;Defaults!B$13, P10 &gt; Defaults!B$12, (P10+Q10) &gt; Defaults!B$13)),1,20)</f>
        <v>1</v>
      </c>
      <c r="L10" s="1">
        <f t="shared" si="8"/>
        <v>1</v>
      </c>
      <c r="M10" s="1" t="b">
        <f t="shared" si="0"/>
        <v>1</v>
      </c>
      <c r="N10" s="42">
        <f t="shared" si="1"/>
        <v>69</v>
      </c>
      <c r="O10" s="42">
        <f>(D$68*L68)-E10</f>
        <v>64</v>
      </c>
      <c r="P10" s="42">
        <f t="shared" si="2"/>
        <v>50</v>
      </c>
      <c r="Q10" s="42">
        <f>(C$68*L68)-C10</f>
        <v>109</v>
      </c>
      <c r="R10" s="42">
        <f t="shared" si="3"/>
        <v>292</v>
      </c>
      <c r="S10" s="30">
        <f t="shared" si="4"/>
        <v>5451943972</v>
      </c>
      <c r="T10" s="30">
        <f t="shared" si="5"/>
        <v>435353289</v>
      </c>
      <c r="U10" s="31">
        <f t="shared" si="6"/>
        <v>12.523033843440196</v>
      </c>
    </row>
    <row r="11" spans="2:21" ht="18" customHeight="1">
      <c r="B11" s="32" t="str">
        <f>'Data Entry'!A11</f>
        <v>6. Cases Petitioned (Charge Filed)</v>
      </c>
      <c r="C11" s="33">
        <f>'Data Entry'!C11</f>
        <v>135</v>
      </c>
      <c r="D11" s="34">
        <f>IF(((AND(C68&gt;0,C11&gt;0))),(C11/(C68)),0)</f>
        <v>84.905660377358487</v>
      </c>
      <c r="E11" s="33">
        <f>'Data Entry'!D11</f>
        <v>106</v>
      </c>
      <c r="F11" s="34">
        <f>IF(((AND($E$11&gt;0,$D$68&gt;0))),($E$11/($D$68)),0)</f>
        <v>79.699248120300751</v>
      </c>
      <c r="G11" s="39">
        <f t="shared" si="7"/>
        <v>0.93868003341687556</v>
      </c>
      <c r="H11" s="40"/>
      <c r="I11" s="41"/>
      <c r="J11" s="40">
        <f>IF((ABS($U11)&gt;Defaults!D$7),1,2)</f>
        <v>2</v>
      </c>
      <c r="K11" s="39">
        <f>IF((AND(N11&gt;Defaults!B$12,(N11+O11)&gt;Defaults!B$13, P11 &gt; Defaults!B$12, (P11+Q11) &gt; Defaults!B$13)),1,20)</f>
        <v>1</v>
      </c>
      <c r="L11" s="1">
        <f t="shared" si="8"/>
        <v>2</v>
      </c>
      <c r="M11" s="1" t="b">
        <f t="shared" si="0"/>
        <v>1</v>
      </c>
      <c r="N11" s="42">
        <f t="shared" si="1"/>
        <v>106</v>
      </c>
      <c r="O11" s="42">
        <f>(D$68*L68)-E11</f>
        <v>27</v>
      </c>
      <c r="P11" s="42">
        <f t="shared" si="2"/>
        <v>135</v>
      </c>
      <c r="Q11" s="42">
        <f>(C$68*L68)-C11</f>
        <v>24</v>
      </c>
      <c r="R11" s="42">
        <f t="shared" si="3"/>
        <v>292</v>
      </c>
      <c r="S11" s="30">
        <f t="shared" si="4"/>
        <v>353962692</v>
      </c>
      <c r="T11" s="30">
        <f t="shared" si="5"/>
        <v>259917777</v>
      </c>
      <c r="U11" s="31">
        <f t="shared" si="6"/>
        <v>1.361825636112608</v>
      </c>
    </row>
    <row r="12" spans="2:21" ht="18" customHeight="1">
      <c r="B12" s="32" t="str">
        <f>'Data Entry'!A12</f>
        <v>7. Cases Resulting in Delinquent Findings</v>
      </c>
      <c r="C12" s="33">
        <f>'Data Entry'!C12</f>
        <v>49</v>
      </c>
      <c r="D12" s="34">
        <f>IF(((AND(C69&gt;0,C12&gt;0))),(C12/(C69)),0)</f>
        <v>36.296296296296291</v>
      </c>
      <c r="E12" s="33">
        <f>'Data Entry'!D12</f>
        <v>40</v>
      </c>
      <c r="F12" s="34">
        <f>IF(((AND($D$69&gt;0,$E$12&gt;0))),(E12/(D69)),0)</f>
        <v>37.735849056603769</v>
      </c>
      <c r="G12" s="39">
        <f t="shared" si="7"/>
        <v>1.0396611474778592</v>
      </c>
      <c r="H12" s="40"/>
      <c r="I12" s="41"/>
      <c r="J12" s="40">
        <f>IF((ABS($U12)&gt;Defaults!D$7),1,2)</f>
        <v>2</v>
      </c>
      <c r="K12" s="39">
        <f>IF((AND(N12&gt;Defaults!B$12,(N12+O12)&gt;Defaults!B$13, P12 &gt; Defaults!B$12, (P12+Q12) &gt; Defaults!B$13)),1,20)</f>
        <v>1</v>
      </c>
      <c r="L12" s="1">
        <f t="shared" si="8"/>
        <v>2</v>
      </c>
      <c r="M12" s="1" t="b">
        <f t="shared" si="0"/>
        <v>1</v>
      </c>
      <c r="N12" s="42">
        <f t="shared" si="1"/>
        <v>40</v>
      </c>
      <c r="O12" s="42">
        <f>(D69*L69)-E12</f>
        <v>66</v>
      </c>
      <c r="P12" s="42">
        <f t="shared" si="2"/>
        <v>49</v>
      </c>
      <c r="Q12" s="42">
        <f>(C69*L69)-C12</f>
        <v>86</v>
      </c>
      <c r="R12" s="42">
        <f t="shared" si="3"/>
        <v>241</v>
      </c>
      <c r="S12" s="30">
        <f t="shared" si="4"/>
        <v>10227076</v>
      </c>
      <c r="T12" s="30">
        <f t="shared" si="5"/>
        <v>193585680</v>
      </c>
      <c r="U12" s="31">
        <f t="shared" si="6"/>
        <v>5.2829713437481531E-2</v>
      </c>
    </row>
    <row r="13" spans="2:21" ht="18" customHeight="1">
      <c r="B13" s="32" t="str">
        <f>'Data Entry'!A13</f>
        <v>8. Cases Resulting in Probation Placement</v>
      </c>
      <c r="C13" s="33">
        <f>'Data Entry'!C13</f>
        <v>54</v>
      </c>
      <c r="D13" s="34">
        <f>IF(((AND(C70&gt;0,C13&gt;0))),(C13/(C70)),0)</f>
        <v>110.20408163265306</v>
      </c>
      <c r="E13" s="33">
        <f>'Data Entry'!D13</f>
        <v>43</v>
      </c>
      <c r="F13" s="34">
        <f>IF(((AND($D$70&gt;0,$E$13&gt;0))),($E$13/($D$70)),0)</f>
        <v>107.5</v>
      </c>
      <c r="G13" s="39">
        <f t="shared" si="7"/>
        <v>0.97546296296296298</v>
      </c>
      <c r="H13" s="40"/>
      <c r="I13" s="41"/>
      <c r="J13" s="40">
        <f>IF((ABS($U13)&gt;Defaults!D$7),1,2)</f>
        <v>2</v>
      </c>
      <c r="K13" s="39">
        <f>IF((AND(N13&gt;Defaults!B$12,(N13+O13)&gt;Defaults!B$13, P13 &gt; Defaults!B$12, (P13+Q13) &gt; Defaults!B$13)),1,20)</f>
        <v>1</v>
      </c>
      <c r="L13" s="1">
        <f t="shared" si="8"/>
        <v>2</v>
      </c>
      <c r="M13" s="1" t="b">
        <f t="shared" si="0"/>
        <v>1</v>
      </c>
      <c r="N13" s="42">
        <f t="shared" si="1"/>
        <v>43</v>
      </c>
      <c r="O13" s="42">
        <f>(D70*L70)-E13</f>
        <v>-3</v>
      </c>
      <c r="P13" s="42">
        <f t="shared" si="2"/>
        <v>54</v>
      </c>
      <c r="Q13" s="42">
        <f>(C70*L70)-C13</f>
        <v>-5</v>
      </c>
      <c r="R13" s="42">
        <f t="shared" si="3"/>
        <v>89</v>
      </c>
      <c r="S13" s="30">
        <f t="shared" si="4"/>
        <v>250001</v>
      </c>
      <c r="T13" s="30">
        <f t="shared" si="5"/>
        <v>-1520960</v>
      </c>
      <c r="U13" s="31">
        <f t="shared" si="6"/>
        <v>-0.16437052913949085</v>
      </c>
    </row>
    <row r="14" spans="2:21" ht="30.75" customHeight="1">
      <c r="B14" s="32" t="str">
        <f>'Data Entry'!A14</f>
        <v xml:space="preserve">9. Cases Resulting in Confinement in Secure Juvenile Correctional Facilities </v>
      </c>
      <c r="C14" s="33">
        <f>'Data Entry'!C14</f>
        <v>41</v>
      </c>
      <c r="D14" s="34">
        <f>IF(((AND(C70&gt;0,C14&gt;0))), ((C14/(C70))),0)</f>
        <v>83.673469387755105</v>
      </c>
      <c r="E14" s="33">
        <f>'Data Entry'!D14</f>
        <v>52</v>
      </c>
      <c r="F14" s="34">
        <f>IF(((AND($D$70&gt;0,$E$14&gt;0))), (($E$14/($D$70))),0)</f>
        <v>130</v>
      </c>
      <c r="G14" s="39">
        <f t="shared" si="7"/>
        <v>1.5536585365853659</v>
      </c>
      <c r="H14" s="40"/>
      <c r="I14" s="41"/>
      <c r="J14" s="40">
        <f>IF((ABS($U14)&gt;Defaults!D$7),1,2)</f>
        <v>1</v>
      </c>
      <c r="K14" s="39">
        <f>IF((AND(N14&gt;Defaults!B$12,(N14+O14)&gt;Defaults!B$13, P14 &gt; Defaults!B$12, (P14+Q14) &gt; Defaults!B$13)),1,20)</f>
        <v>1</v>
      </c>
      <c r="L14" s="1">
        <f t="shared" si="8"/>
        <v>1</v>
      </c>
      <c r="M14" s="1" t="b">
        <f t="shared" si="0"/>
        <v>1</v>
      </c>
      <c r="N14" s="42">
        <f t="shared" si="1"/>
        <v>52</v>
      </c>
      <c r="O14" s="42">
        <f>(D70*L70)-E14</f>
        <v>-12</v>
      </c>
      <c r="P14" s="42">
        <f t="shared" si="2"/>
        <v>41</v>
      </c>
      <c r="Q14" s="42">
        <f>(C70*L70)-C14</f>
        <v>8</v>
      </c>
      <c r="R14" s="42">
        <f t="shared" si="3"/>
        <v>89</v>
      </c>
      <c r="S14" s="30">
        <f t="shared" si="4"/>
        <v>73377296</v>
      </c>
      <c r="T14" s="30">
        <f t="shared" si="5"/>
        <v>-729120</v>
      </c>
      <c r="U14" s="31">
        <f t="shared" si="6"/>
        <v>-100.63816107087996</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106</v>
      </c>
      <c r="P15" s="42">
        <f t="shared" si="2"/>
        <v>0</v>
      </c>
      <c r="Q15" s="42">
        <f>(C69*L69)-C15</f>
        <v>135</v>
      </c>
      <c r="R15" s="42">
        <f t="shared" si="3"/>
        <v>241</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9.7799999999999994</v>
      </c>
      <c r="D42" s="56">
        <f>E6/1000</f>
        <v>2.347</v>
      </c>
      <c r="E42" s="56">
        <f>MAX(C42:D42)</f>
        <v>9.7799999999999994</v>
      </c>
      <c r="G42" s="1" t="str">
        <f>B42</f>
        <v>per 1000 youth</v>
      </c>
      <c r="L42" s="57">
        <v>1000</v>
      </c>
      <c r="M42" s="57"/>
      <c r="R42" s="49"/>
    </row>
    <row r="43" spans="2:18" ht="15" hidden="1" customHeight="1">
      <c r="B43" s="49" t="s">
        <v>87</v>
      </c>
      <c r="C43" s="56">
        <f>C7/100</f>
        <v>0.15</v>
      </c>
      <c r="D43" s="56">
        <f>E7/100</f>
        <v>0.08</v>
      </c>
      <c r="E43" s="56">
        <f>MAX(C43:D43,0)</f>
        <v>0.15</v>
      </c>
      <c r="G43" s="1" t="str">
        <f>B43</f>
        <v>per 100 arrests</v>
      </c>
      <c r="L43" s="57">
        <v>100</v>
      </c>
      <c r="M43" s="57"/>
      <c r="R43" s="49"/>
    </row>
    <row r="44" spans="2:18" ht="15" hidden="1" customHeight="1">
      <c r="B44" s="49" t="s">
        <v>88</v>
      </c>
      <c r="C44" s="56">
        <f>C8/100</f>
        <v>1.59</v>
      </c>
      <c r="D44" s="56">
        <f>E8/100</f>
        <v>1.33</v>
      </c>
      <c r="E44" s="56">
        <f>MAX(C44:D44,0)</f>
        <v>1.59</v>
      </c>
      <c r="G44" s="1" t="str">
        <f>B44</f>
        <v>per 100 referrals</v>
      </c>
      <c r="L44" s="57">
        <v>100</v>
      </c>
      <c r="M44" s="57"/>
      <c r="R44" s="49"/>
    </row>
    <row r="45" spans="2:18" ht="15" hidden="1" customHeight="1">
      <c r="B45" s="49" t="s">
        <v>89</v>
      </c>
      <c r="C45" s="49">
        <f>C11/100</f>
        <v>1.35</v>
      </c>
      <c r="D45" s="49">
        <f>E11/100</f>
        <v>1.06</v>
      </c>
      <c r="E45" s="56">
        <f>MAX(C45:D45,0)</f>
        <v>1.35</v>
      </c>
      <c r="G45" s="1" t="str">
        <f>B45</f>
        <v>per 100 youth petitioned</v>
      </c>
      <c r="L45" s="57">
        <v>100</v>
      </c>
      <c r="M45" s="57"/>
      <c r="R45" s="49"/>
    </row>
    <row r="46" spans="2:18" ht="15" hidden="1" customHeight="1">
      <c r="B46" s="49" t="s">
        <v>90</v>
      </c>
      <c r="C46" s="49">
        <f>C12/100</f>
        <v>0.49</v>
      </c>
      <c r="D46" s="49">
        <f>E12/100</f>
        <v>0.4</v>
      </c>
      <c r="E46" s="56">
        <f>MAX(C46:D46)</f>
        <v>0.49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9.7799999999999994</v>
      </c>
      <c r="D48" s="56">
        <f>D42</f>
        <v>2.347</v>
      </c>
      <c r="E48" s="56">
        <f>MAX(C48:D48)</f>
        <v>9.7799999999999994</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0.15</v>
      </c>
      <c r="D49" s="49">
        <f t="shared" si="9"/>
        <v>0.08</v>
      </c>
      <c r="E49" s="49">
        <f>MAX(C49:D49)</f>
        <v>0.15</v>
      </c>
      <c r="G49" s="1" t="str">
        <f>G43</f>
        <v>per 100 arrests</v>
      </c>
      <c r="L49" s="58">
        <f>IF(($E43&gt;0),L43,L42)</f>
        <v>100</v>
      </c>
      <c r="M49" s="58"/>
      <c r="N49" s="21"/>
      <c r="O49" s="21"/>
      <c r="P49" s="21"/>
      <c r="Q49" s="21"/>
      <c r="R49" s="21"/>
    </row>
    <row r="50" spans="2:18" ht="15" hidden="1" customHeight="1">
      <c r="B50" s="49" t="str">
        <f t="shared" si="9"/>
        <v>per 100 referrals</v>
      </c>
      <c r="C50" s="49">
        <f t="shared" si="9"/>
        <v>1.59</v>
      </c>
      <c r="D50" s="49">
        <f t="shared" si="9"/>
        <v>1.33</v>
      </c>
      <c r="E50" s="49">
        <f>MAX(C50:D50)</f>
        <v>1.59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1.35</v>
      </c>
      <c r="D51" s="49">
        <f>IF(($E45&gt;0),D45,D44)</f>
        <v>1.06</v>
      </c>
      <c r="E51" s="49">
        <f>MAX(C51:D51)</f>
        <v>1.35</v>
      </c>
      <c r="G51" s="1" t="str">
        <f>G45</f>
        <v>per 100 youth petitioned</v>
      </c>
      <c r="L51" s="58">
        <f>IF(($E45&gt;0),L45,L44)</f>
        <v>100</v>
      </c>
      <c r="M51" s="58"/>
    </row>
    <row r="52" spans="2:18" ht="15" hidden="1" customHeight="1">
      <c r="B52" s="49" t="str">
        <f>IF(($E46&gt;0),B46,B45)</f>
        <v>per 100 youth found delinquent</v>
      </c>
      <c r="C52" s="49">
        <f>IF(($E46&gt;0),C46,C45)</f>
        <v>0.49</v>
      </c>
      <c r="D52" s="49">
        <f>IF(($E46&gt;0),D46,D45)</f>
        <v>0.4</v>
      </c>
      <c r="E52" s="56">
        <f>MAX(C52:D52)</f>
        <v>0.49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9.7799999999999994</v>
      </c>
      <c r="D54" s="56">
        <f>D48</f>
        <v>2.347</v>
      </c>
      <c r="E54" s="56">
        <f>MAX(C54:D54)</f>
        <v>9.7799999999999994</v>
      </c>
      <c r="G54" s="1" t="str">
        <f>G48</f>
        <v>per 1000 youth</v>
      </c>
      <c r="L54" s="58">
        <f>L48</f>
        <v>1000</v>
      </c>
      <c r="M54" s="58"/>
    </row>
    <row r="55" spans="2:18" ht="15" hidden="1" customHeight="1">
      <c r="B55" s="49" t="str">
        <f t="shared" ref="B55:D56" si="10">IF(($E49&gt;0),B49,B48)</f>
        <v>per 100 arrests</v>
      </c>
      <c r="C55" s="49">
        <f t="shared" si="10"/>
        <v>0.15</v>
      </c>
      <c r="D55" s="49">
        <f t="shared" si="10"/>
        <v>0.08</v>
      </c>
      <c r="E55" s="49">
        <f>MAX(C55:D55)</f>
        <v>0.15</v>
      </c>
      <c r="G55" s="1" t="str">
        <f>G49</f>
        <v>per 100 arrests</v>
      </c>
      <c r="L55" s="58">
        <f>IF(($E49&gt;0),L49,L48)</f>
        <v>100</v>
      </c>
      <c r="M55" s="58"/>
    </row>
    <row r="56" spans="2:18" ht="15" hidden="1" customHeight="1">
      <c r="B56" s="49" t="str">
        <f t="shared" si="10"/>
        <v>per 100 referrals</v>
      </c>
      <c r="C56" s="49">
        <f t="shared" si="10"/>
        <v>1.59</v>
      </c>
      <c r="D56" s="49">
        <f t="shared" si="10"/>
        <v>1.33</v>
      </c>
      <c r="E56" s="49">
        <f>MAX(C56:D56)</f>
        <v>1.59</v>
      </c>
      <c r="G56" s="1" t="str">
        <f>G50</f>
        <v>per 100 referrals</v>
      </c>
      <c r="L56" s="58">
        <f>IF(($E50&gt;0),L50,L49)</f>
        <v>100</v>
      </c>
      <c r="M56" s="58"/>
    </row>
    <row r="57" spans="2:18" ht="15" hidden="1" customHeight="1">
      <c r="B57" s="49" t="str">
        <f>IF(($E51&gt;0),B51,B49)</f>
        <v>per 100 youth petitioned</v>
      </c>
      <c r="C57" s="49">
        <f>IF(($E51&gt;0),C51,C50)</f>
        <v>1.35</v>
      </c>
      <c r="D57" s="49">
        <f>IF(($E51&gt;0),D51,D50)</f>
        <v>1.06</v>
      </c>
      <c r="E57" s="49">
        <f>MAX(C57:D57)</f>
        <v>1.35</v>
      </c>
      <c r="G57" s="1" t="str">
        <f>G51</f>
        <v>per 100 youth petitioned</v>
      </c>
      <c r="L57" s="58">
        <f>IF(($E51&gt;0),L51,L50)</f>
        <v>100</v>
      </c>
      <c r="M57" s="58"/>
    </row>
    <row r="58" spans="2:18" ht="15" hidden="1" customHeight="1">
      <c r="B58" s="49" t="str">
        <f>IF(($E52&gt;0),B52,B51)</f>
        <v>per 100 youth found delinquent</v>
      </c>
      <c r="C58" s="49">
        <f>IF(($E52&gt;0),C52,C51)</f>
        <v>0.49</v>
      </c>
      <c r="D58" s="49">
        <f>IF(($E52&gt;0),D52,D51)</f>
        <v>0.4</v>
      </c>
      <c r="E58" s="56">
        <f>MAX(C58:D58)</f>
        <v>0.49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9.7799999999999994</v>
      </c>
      <c r="D60" s="56">
        <f>D54</f>
        <v>2.347</v>
      </c>
      <c r="E60" s="56">
        <f>MAX(C60:D60)</f>
        <v>9.7799999999999994</v>
      </c>
      <c r="G60" s="1" t="str">
        <f>G54</f>
        <v>per 1000 youth</v>
      </c>
      <c r="L60" s="58">
        <f>L54</f>
        <v>1000</v>
      </c>
      <c r="M60" s="58"/>
    </row>
    <row r="61" spans="2:18" ht="15" hidden="1" customHeight="1">
      <c r="B61" s="49" t="str">
        <f t="shared" ref="B61:D62" si="11">IF(($E55&gt;0),B55,B54)</f>
        <v>per 100 arrests</v>
      </c>
      <c r="C61" s="49">
        <f t="shared" si="11"/>
        <v>0.15</v>
      </c>
      <c r="D61" s="49">
        <f t="shared" si="11"/>
        <v>0.08</v>
      </c>
      <c r="E61" s="49">
        <f>MAX(C61:D61)</f>
        <v>0.15</v>
      </c>
      <c r="G61" s="1" t="str">
        <f>G55</f>
        <v>per 100 arrests</v>
      </c>
      <c r="L61" s="58">
        <f>IF(($E55&gt;0),L55,L54)</f>
        <v>100</v>
      </c>
      <c r="M61" s="58"/>
    </row>
    <row r="62" spans="2:18" ht="15" hidden="1" customHeight="1">
      <c r="B62" s="49" t="str">
        <f t="shared" si="11"/>
        <v>per 100 referrals</v>
      </c>
      <c r="C62" s="49">
        <f t="shared" si="11"/>
        <v>1.59</v>
      </c>
      <c r="D62" s="49">
        <f t="shared" si="11"/>
        <v>1.33</v>
      </c>
      <c r="E62" s="49">
        <f>MAX(C62:D62)</f>
        <v>1.59</v>
      </c>
      <c r="G62" s="1" t="str">
        <f>G56</f>
        <v>per 100 referrals</v>
      </c>
      <c r="L62" s="58">
        <f>IF(($E56&gt;0),L56,L55)</f>
        <v>100</v>
      </c>
      <c r="M62" s="58"/>
    </row>
    <row r="63" spans="2:18" ht="15" hidden="1" customHeight="1">
      <c r="B63" s="49" t="str">
        <f>IF(($E57&gt;0),B57,B55)</f>
        <v>per 100 youth petitioned</v>
      </c>
      <c r="C63" s="49">
        <f>IF(($E57&gt;0),C57,C56)</f>
        <v>1.35</v>
      </c>
      <c r="D63" s="49">
        <f>IF(($E57&gt;0),D57,D56)</f>
        <v>1.06</v>
      </c>
      <c r="E63" s="49">
        <f>MAX(C63:D63)</f>
        <v>1.35</v>
      </c>
      <c r="G63" s="1" t="str">
        <f>G57</f>
        <v>per 100 youth petitioned</v>
      </c>
      <c r="L63" s="58">
        <f>IF(($E57&gt;0),L57,L56)</f>
        <v>100</v>
      </c>
      <c r="M63" s="58"/>
    </row>
    <row r="64" spans="2:18" ht="15" hidden="1" customHeight="1">
      <c r="B64" s="49" t="str">
        <f>IF(($E58&gt;0),B58,B57)</f>
        <v>per 100 youth found delinquent</v>
      </c>
      <c r="C64" s="49">
        <f>IF(($E58&gt;0),C58,C57)</f>
        <v>0.49</v>
      </c>
      <c r="D64" s="49">
        <f>IF(($E58&gt;0),D58,D57)</f>
        <v>0.4</v>
      </c>
      <c r="E64" s="56">
        <f>MAX(C64:D64)</f>
        <v>0.49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9.7799999999999994</v>
      </c>
      <c r="D66" s="56">
        <f>D60</f>
        <v>2.347</v>
      </c>
      <c r="E66" s="56">
        <f>MAX(C66:D66)</f>
        <v>9.7799999999999994</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0.08</v>
      </c>
      <c r="E67" s="49">
        <f>MAX(C67:D67)</f>
        <v>0.15</v>
      </c>
      <c r="G67" s="1" t="str">
        <f>G61</f>
        <v>per 100 arrests</v>
      </c>
      <c r="L67" s="58">
        <f>IF(($E61&gt;0),L61,L60)</f>
        <v>100</v>
      </c>
      <c r="M67" s="58">
        <f>IF((B67=G67),1,2)</f>
        <v>1</v>
      </c>
    </row>
    <row r="68" spans="2:13" ht="15" hidden="1" customHeight="1">
      <c r="B68" s="49" t="str">
        <f t="shared" si="12"/>
        <v>per 100 referrals</v>
      </c>
      <c r="C68" s="49">
        <f t="shared" si="12"/>
        <v>1.59</v>
      </c>
      <c r="D68" s="49">
        <f t="shared" si="12"/>
        <v>1.33</v>
      </c>
      <c r="E68" s="49">
        <f>MAX(C68:D68)</f>
        <v>1.59</v>
      </c>
      <c r="G68" s="1" t="str">
        <f>G62</f>
        <v>per 100 referrals</v>
      </c>
      <c r="L68" s="58">
        <f>IF(($E62&gt;0),L62,L61)</f>
        <v>100</v>
      </c>
      <c r="M68" s="58">
        <f>IF((B68=G68),1,2)</f>
        <v>1</v>
      </c>
    </row>
    <row r="69" spans="2:13" ht="15" hidden="1" customHeight="1">
      <c r="B69" s="49" t="str">
        <f>IF(($E63&gt;0),B63,B61)</f>
        <v>per 100 youth petitioned</v>
      </c>
      <c r="C69" s="49">
        <f>IF(($E63&gt;0),C63,C62)</f>
        <v>1.35</v>
      </c>
      <c r="D69" s="49">
        <f>IF(($E63&gt;0),D63,D62)</f>
        <v>1.06</v>
      </c>
      <c r="E69" s="49">
        <f>MAX(C69:D69)</f>
        <v>1.35</v>
      </c>
      <c r="G69" s="1" t="str">
        <f>G63</f>
        <v>per 100 youth petitioned</v>
      </c>
      <c r="L69" s="58">
        <f>IF(($E63&gt;0),L63,L62)</f>
        <v>100</v>
      </c>
      <c r="M69" s="58">
        <f>IF((B69=G69),1,2)</f>
        <v>1</v>
      </c>
    </row>
    <row r="70" spans="2:13" ht="15" hidden="1" customHeight="1">
      <c r="B70" s="49" t="str">
        <f>IF(($E64&gt;0),B64,B63)</f>
        <v>per 100 youth found delinquent</v>
      </c>
      <c r="C70" s="49">
        <f>IF(($E64&gt;0),C64,C63)</f>
        <v>0.49</v>
      </c>
      <c r="D70" s="49">
        <f>IF(($E64&gt;0),D64,D63)</f>
        <v>0.4</v>
      </c>
      <c r="E70" s="56">
        <f>MAX(C70:D70)</f>
        <v>0.49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Calhoun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9780</v>
      </c>
      <c r="D6" s="34"/>
      <c r="E6" s="33">
        <f>'Data Entry'!F6</f>
        <v>402</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1.5337423312883436</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402</v>
      </c>
      <c r="P7" s="42">
        <f t="shared" ref="P7:P15" si="4">C7</f>
        <v>15</v>
      </c>
      <c r="Q7" s="42">
        <f>C6-C7</f>
        <v>9765</v>
      </c>
      <c r="R7" s="42">
        <f t="shared" ref="R7:R15" si="5">SUM(N7:Q7)</f>
        <v>10182</v>
      </c>
      <c r="S7" s="30">
        <f t="shared" ref="S7:S15" si="6">R7*((((N7*Q7)-(O7*P7))^2))</f>
        <v>370226683800</v>
      </c>
      <c r="T7" s="30">
        <f t="shared" ref="T7:T15" si="7">(N7+O7)*(P7+Q7)*(N7+P7)*(O7+Q7)</f>
        <v>599582557800</v>
      </c>
      <c r="U7" s="31">
        <f t="shared" ref="U7:U15" si="8">IF((S7&gt;0),S7/T7,"- -")</f>
        <v>0.61747407255881981</v>
      </c>
    </row>
    <row r="8" spans="2:21" ht="18" customHeight="1">
      <c r="B8" s="32" t="str">
        <f>'Data Entry'!A8</f>
        <v>3. Refer to Juvenile Court</v>
      </c>
      <c r="C8" s="33">
        <f>'Data Entry'!C8</f>
        <v>159</v>
      </c>
      <c r="D8" s="34">
        <f>IF((AND(C67&gt;0,C8&gt;0)),(C8/C67),0)</f>
        <v>1060</v>
      </c>
      <c r="E8" s="33">
        <f>'Data Entry'!F8</f>
        <v>1</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-0.95</v>
      </c>
      <c r="P8" s="42">
        <f t="shared" si="4"/>
        <v>159</v>
      </c>
      <c r="Q8" s="42">
        <f>(C$67*L67)-C8</f>
        <v>-144</v>
      </c>
      <c r="R8" s="42">
        <f t="shared" si="5"/>
        <v>15.050000000000011</v>
      </c>
      <c r="S8" s="30">
        <f t="shared" si="6"/>
        <v>748.02262499999699</v>
      </c>
      <c r="T8" s="30">
        <f t="shared" si="7"/>
        <v>-17394.000000000015</v>
      </c>
      <c r="U8" s="31">
        <f t="shared" si="8"/>
        <v>-4.300463521904084E-2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159</v>
      </c>
      <c r="R9" s="42">
        <f t="shared" si="5"/>
        <v>160</v>
      </c>
      <c r="S9" s="30">
        <f t="shared" si="6"/>
        <v>0</v>
      </c>
      <c r="T9" s="30">
        <f t="shared" si="7"/>
        <v>0</v>
      </c>
      <c r="U9" s="31" t="str">
        <f t="shared" si="8"/>
        <v>- -</v>
      </c>
    </row>
    <row r="10" spans="2:21" ht="18" customHeight="1">
      <c r="B10" s="32" t="str">
        <f>'Data Entry'!A10</f>
        <v>5. Cases Involving Secure Detention</v>
      </c>
      <c r="C10" s="33">
        <f>'Data Entry'!C10</f>
        <v>50</v>
      </c>
      <c r="D10" s="34">
        <f>IF(((AND(C68&gt;0,C10&gt;0))),(C10/(C68)),0)</f>
        <v>31.446540880503143</v>
      </c>
      <c r="E10" s="33">
        <f>'Data Entry'!F10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50</v>
      </c>
      <c r="Q10" s="42">
        <f>(C$68*L68)-C10</f>
        <v>109</v>
      </c>
      <c r="R10" s="42">
        <f t="shared" si="5"/>
        <v>160</v>
      </c>
      <c r="S10" s="30">
        <f t="shared" si="6"/>
        <v>400000</v>
      </c>
      <c r="T10" s="30">
        <f t="shared" si="7"/>
        <v>874500</v>
      </c>
      <c r="U10" s="31">
        <f t="shared" si="8"/>
        <v>0.45740423098913663</v>
      </c>
    </row>
    <row r="11" spans="2:21" ht="18" customHeight="1">
      <c r="B11" s="32" t="str">
        <f>'Data Entry'!A11</f>
        <v>6. Cases Petitioned (Charge Filed)</v>
      </c>
      <c r="C11" s="33">
        <f>'Data Entry'!C11</f>
        <v>135</v>
      </c>
      <c r="D11" s="34">
        <f>IF(((AND(C68&gt;0,C11&gt;0))),(C11/(C68)),0)</f>
        <v>84.905660377358487</v>
      </c>
      <c r="E11" s="33">
        <f>'Data Entry'!F11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0</v>
      </c>
      <c r="P11" s="42">
        <f t="shared" si="4"/>
        <v>135</v>
      </c>
      <c r="Q11" s="42">
        <f>(C$68*L68)-C11</f>
        <v>24</v>
      </c>
      <c r="R11" s="42">
        <f t="shared" si="5"/>
        <v>160</v>
      </c>
      <c r="S11" s="30">
        <f t="shared" si="6"/>
        <v>92160</v>
      </c>
      <c r="T11" s="30">
        <f t="shared" si="7"/>
        <v>518976</v>
      </c>
      <c r="U11" s="31">
        <f t="shared" si="8"/>
        <v>0.17758046614872364</v>
      </c>
    </row>
    <row r="12" spans="2:21" ht="18" customHeight="1">
      <c r="B12" s="32" t="str">
        <f>'Data Entry'!A12</f>
        <v>7. Cases Resulting in Delinquent Findings</v>
      </c>
      <c r="C12" s="33">
        <f>'Data Entry'!C12</f>
        <v>49</v>
      </c>
      <c r="D12" s="34">
        <f>IF(((AND(C69&gt;0,C12&gt;0))),(C12/(C69)),0)</f>
        <v>36.296296296296291</v>
      </c>
      <c r="E12" s="33">
        <f>'Data Entry'!F12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49</v>
      </c>
      <c r="Q12" s="42">
        <f>(C69*L69)-C12</f>
        <v>86</v>
      </c>
      <c r="R12" s="42">
        <f t="shared" si="5"/>
        <v>136</v>
      </c>
      <c r="S12" s="30">
        <f t="shared" si="6"/>
        <v>1005856</v>
      </c>
      <c r="T12" s="30">
        <f t="shared" si="7"/>
        <v>580500</v>
      </c>
      <c r="U12" s="31">
        <f t="shared" si="8"/>
        <v>1.7327407407407407</v>
      </c>
    </row>
    <row r="13" spans="2:21" ht="18" customHeight="1">
      <c r="B13" s="32" t="str">
        <f>'Data Entry'!A13</f>
        <v>8. Cases Resulting in Probation Placement</v>
      </c>
      <c r="C13" s="33">
        <f>'Data Entry'!C13</f>
        <v>54</v>
      </c>
      <c r="D13" s="34">
        <f>IF(((AND(C70&gt;0,C13&gt;0))),(C13/(C70)),0)</f>
        <v>110.20408163265306</v>
      </c>
      <c r="E13" s="33">
        <f>'Data Entry'!F13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v>
      </c>
      <c r="O13" s="42">
        <f>(D70*L70)-E13</f>
        <v>0</v>
      </c>
      <c r="P13" s="42">
        <f t="shared" si="4"/>
        <v>54</v>
      </c>
      <c r="Q13" s="42">
        <f>(C70*L70)-C13</f>
        <v>-5</v>
      </c>
      <c r="R13" s="42">
        <f t="shared" si="5"/>
        <v>50</v>
      </c>
      <c r="S13" s="30">
        <f t="shared" si="6"/>
        <v>1250</v>
      </c>
      <c r="T13" s="30">
        <f t="shared" si="7"/>
        <v>-13475</v>
      </c>
      <c r="U13" s="31">
        <f t="shared" si="8"/>
        <v>-9.2764378478664186E-2</v>
      </c>
    </row>
    <row r="14" spans="2:21" ht="30.75" customHeight="1">
      <c r="B14" s="32" t="str">
        <f>'Data Entry'!A14</f>
        <v xml:space="preserve">9. Cases Resulting in Confinement in Secure Juvenile Correctional Facilities </v>
      </c>
      <c r="C14" s="33">
        <f>'Data Entry'!C14</f>
        <v>41</v>
      </c>
      <c r="D14" s="34">
        <f>IF(((AND(C70&gt;0,C14&gt;0))), ((C14/(C70))),0)</f>
        <v>83.673469387755105</v>
      </c>
      <c r="E14" s="33">
        <f>'Data Entry'!F14</f>
        <v>0</v>
      </c>
      <c r="F14" s="34">
        <f>IF(((AND($D$70&gt;0,$E$14&gt;0))), (($E$14/($D$70))),0)</f>
        <v>0</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0</v>
      </c>
      <c r="O14" s="42">
        <f>(D70*L70)-E14</f>
        <v>1</v>
      </c>
      <c r="P14" s="42">
        <f t="shared" si="4"/>
        <v>41</v>
      </c>
      <c r="Q14" s="42">
        <f>(C70*L70)-C14</f>
        <v>8</v>
      </c>
      <c r="R14" s="42">
        <f t="shared" si="5"/>
        <v>50</v>
      </c>
      <c r="S14" s="30">
        <f t="shared" si="6"/>
        <v>84050</v>
      </c>
      <c r="T14" s="30">
        <f t="shared" si="7"/>
        <v>18081</v>
      </c>
      <c r="U14" s="31">
        <f t="shared" si="8"/>
        <v>4.6485260770975056</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135</v>
      </c>
      <c r="R15" s="42">
        <f t="shared" si="5"/>
        <v>136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9.7799999999999994</v>
      </c>
      <c r="D42" s="56">
        <f>E6/1000</f>
        <v>0.40200000000000002</v>
      </c>
      <c r="E42" s="56">
        <f>MAX(C42:D42)</f>
        <v>9.7799999999999994</v>
      </c>
      <c r="G42" s="1" t="str">
        <f>B42</f>
        <v>per 1000 youth</v>
      </c>
      <c r="L42" s="57">
        <v>1000</v>
      </c>
      <c r="M42" s="57"/>
      <c r="R42" s="49"/>
    </row>
    <row r="43" spans="2:18" ht="15" hidden="1" customHeight="1">
      <c r="B43" s="49" t="s">
        <v>87</v>
      </c>
      <c r="C43" s="56">
        <f>C7/100</f>
        <v>0.15</v>
      </c>
      <c r="D43" s="56">
        <f>E7/100</f>
        <v>0</v>
      </c>
      <c r="E43" s="56">
        <f>MAX(C43:D43,0)</f>
        <v>0.15</v>
      </c>
      <c r="G43" s="1" t="str">
        <f>B43</f>
        <v>per 100 arrests</v>
      </c>
      <c r="L43" s="57">
        <v>100</v>
      </c>
      <c r="M43" s="57"/>
      <c r="R43" s="49"/>
    </row>
    <row r="44" spans="2:18" ht="15" hidden="1" customHeight="1">
      <c r="B44" s="49" t="s">
        <v>88</v>
      </c>
      <c r="C44" s="56">
        <f>C8/100</f>
        <v>1.59</v>
      </c>
      <c r="D44" s="56">
        <f>E8/100</f>
        <v>0.01</v>
      </c>
      <c r="E44" s="56">
        <f>MAX(C44:D44,0)</f>
        <v>1.59</v>
      </c>
      <c r="G44" s="1" t="str">
        <f>B44</f>
        <v>per 100 referrals</v>
      </c>
      <c r="L44" s="57">
        <v>100</v>
      </c>
      <c r="M44" s="57"/>
      <c r="R44" s="49"/>
    </row>
    <row r="45" spans="2:18" ht="15" hidden="1" customHeight="1">
      <c r="B45" s="49" t="s">
        <v>89</v>
      </c>
      <c r="C45" s="49">
        <f>C11/100</f>
        <v>1.35</v>
      </c>
      <c r="D45" s="49">
        <f>E11/100</f>
        <v>0.01</v>
      </c>
      <c r="E45" s="56">
        <f>MAX(C45:D45,0)</f>
        <v>1.35</v>
      </c>
      <c r="G45" s="1" t="str">
        <f>B45</f>
        <v>per 100 youth petitioned</v>
      </c>
      <c r="L45" s="57">
        <v>100</v>
      </c>
      <c r="M45" s="57"/>
      <c r="R45" s="49"/>
    </row>
    <row r="46" spans="2:18" ht="15" hidden="1" customHeight="1">
      <c r="B46" s="49" t="s">
        <v>90</v>
      </c>
      <c r="C46" s="49">
        <f>C12/100</f>
        <v>0.49</v>
      </c>
      <c r="D46" s="49">
        <f>E12/100</f>
        <v>0.01</v>
      </c>
      <c r="E46" s="56">
        <f>MAX(C46:D46)</f>
        <v>0.49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9.7799999999999994</v>
      </c>
      <c r="D48" s="56">
        <f>D42</f>
        <v>0.40200000000000002</v>
      </c>
      <c r="E48" s="56">
        <f>MAX(C48:D48)</f>
        <v>9.7799999999999994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0.15</v>
      </c>
      <c r="D49" s="49">
        <f t="shared" si="9"/>
        <v>0</v>
      </c>
      <c r="E49" s="49">
        <f>MAX(C49:D49)</f>
        <v>0.15</v>
      </c>
      <c r="G49" s="1" t="str">
        <f>G43</f>
        <v>per 100 arrests</v>
      </c>
      <c r="L49" s="58">
        <f>IF(($E43&gt;0),L43,L42)</f>
        <v>100</v>
      </c>
      <c r="M49" s="58"/>
      <c r="N49" s="21"/>
      <c r="O49" s="21"/>
      <c r="P49" s="21"/>
      <c r="Q49" s="21"/>
      <c r="R49" s="21"/>
    </row>
    <row r="50" spans="2:18" ht="15" hidden="1" customHeight="1">
      <c r="B50" s="49" t="str">
        <f t="shared" si="9"/>
        <v>per 100 referrals</v>
      </c>
      <c r="C50" s="49">
        <f t="shared" si="9"/>
        <v>1.59</v>
      </c>
      <c r="D50" s="49">
        <f t="shared" si="9"/>
        <v>0.01</v>
      </c>
      <c r="E50" s="49">
        <f>MAX(C50:D50)</f>
        <v>1.59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1.35</v>
      </c>
      <c r="D51" s="49">
        <f>IF(($E45&gt;0),D45,D44)</f>
        <v>0.01</v>
      </c>
      <c r="E51" s="49">
        <f>MAX(C51:D51)</f>
        <v>1.35</v>
      </c>
      <c r="G51" s="1" t="str">
        <f>G45</f>
        <v>per 100 youth petitioned</v>
      </c>
      <c r="L51" s="58">
        <f>IF(($E45&gt;0),L45,L44)</f>
        <v>100</v>
      </c>
      <c r="M51" s="58"/>
    </row>
    <row r="52" spans="2:18" ht="15" hidden="1" customHeight="1">
      <c r="B52" s="49" t="str">
        <f>IF(($E46&gt;0),B46,B45)</f>
        <v>per 100 youth found delinquent</v>
      </c>
      <c r="C52" s="49">
        <f>IF(($E46&gt;0),C46,C45)</f>
        <v>0.49</v>
      </c>
      <c r="D52" s="49">
        <f>IF(($E46&gt;0),D46,D45)</f>
        <v>0.01</v>
      </c>
      <c r="E52" s="56">
        <f>MAX(C52:D52)</f>
        <v>0.49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9.7799999999999994</v>
      </c>
      <c r="D54" s="56">
        <f>D48</f>
        <v>0.40200000000000002</v>
      </c>
      <c r="E54" s="56">
        <f>MAX(C54:D54)</f>
        <v>9.7799999999999994</v>
      </c>
      <c r="G54" s="1" t="str">
        <f>G48</f>
        <v>per 1000 youth</v>
      </c>
      <c r="L54" s="58">
        <f>L48</f>
        <v>1000</v>
      </c>
      <c r="M54" s="58"/>
    </row>
    <row r="55" spans="2:18" ht="15" hidden="1" customHeight="1">
      <c r="B55" s="49" t="str">
        <f t="shared" ref="B55:D56" si="10">IF(($E49&gt;0),B49,B48)</f>
        <v>per 100 arrests</v>
      </c>
      <c r="C55" s="49">
        <f t="shared" si="10"/>
        <v>0.15</v>
      </c>
      <c r="D55" s="49">
        <f t="shared" si="10"/>
        <v>0</v>
      </c>
      <c r="E55" s="49">
        <f>MAX(C55:D55)</f>
        <v>0.15</v>
      </c>
      <c r="G55" s="1" t="str">
        <f>G49</f>
        <v>per 100 arrests</v>
      </c>
      <c r="L55" s="58">
        <f>IF(($E49&gt;0),L49,L48)</f>
        <v>100</v>
      </c>
      <c r="M55" s="58"/>
    </row>
    <row r="56" spans="2:18" ht="15" hidden="1" customHeight="1">
      <c r="B56" s="49" t="str">
        <f t="shared" si="10"/>
        <v>per 100 referrals</v>
      </c>
      <c r="C56" s="49">
        <f t="shared" si="10"/>
        <v>1.59</v>
      </c>
      <c r="D56" s="49">
        <f t="shared" si="10"/>
        <v>0.01</v>
      </c>
      <c r="E56" s="49">
        <f>MAX(C56:D56)</f>
        <v>1.59</v>
      </c>
      <c r="G56" s="1" t="str">
        <f>G50</f>
        <v>per 100 referrals</v>
      </c>
      <c r="L56" s="58">
        <f>IF(($E50&gt;0),L50,L49)</f>
        <v>100</v>
      </c>
      <c r="M56" s="58"/>
    </row>
    <row r="57" spans="2:18" ht="15" hidden="1" customHeight="1">
      <c r="B57" s="49" t="str">
        <f>IF(($E51&gt;0),B51,B49)</f>
        <v>per 100 youth petitioned</v>
      </c>
      <c r="C57" s="49">
        <f>IF(($E51&gt;0),C51,C50)</f>
        <v>1.35</v>
      </c>
      <c r="D57" s="49">
        <f>IF(($E51&gt;0),D51,D50)</f>
        <v>0.01</v>
      </c>
      <c r="E57" s="49">
        <f>MAX(C57:D57)</f>
        <v>1.35</v>
      </c>
      <c r="G57" s="1" t="str">
        <f>G51</f>
        <v>per 100 youth petitioned</v>
      </c>
      <c r="L57" s="58">
        <f>IF(($E51&gt;0),L51,L50)</f>
        <v>100</v>
      </c>
      <c r="M57" s="58"/>
    </row>
    <row r="58" spans="2:18" ht="15" hidden="1" customHeight="1">
      <c r="B58" s="49" t="str">
        <f>IF(($E52&gt;0),B52,B51)</f>
        <v>per 100 youth found delinquent</v>
      </c>
      <c r="C58" s="49">
        <f>IF(($E52&gt;0),C52,C51)</f>
        <v>0.49</v>
      </c>
      <c r="D58" s="49">
        <f>IF(($E52&gt;0),D52,D51)</f>
        <v>0.01</v>
      </c>
      <c r="E58" s="56">
        <f>MAX(C58:D58)</f>
        <v>0.49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9.7799999999999994</v>
      </c>
      <c r="D60" s="56">
        <f>D54</f>
        <v>0.40200000000000002</v>
      </c>
      <c r="E60" s="56">
        <f>MAX(C60:D60)</f>
        <v>9.7799999999999994</v>
      </c>
      <c r="G60" s="1" t="str">
        <f>G54</f>
        <v>per 1000 youth</v>
      </c>
      <c r="L60" s="58">
        <f>L54</f>
        <v>1000</v>
      </c>
      <c r="M60" s="58"/>
    </row>
    <row r="61" spans="2:18" ht="15" hidden="1" customHeight="1">
      <c r="B61" s="49" t="str">
        <f t="shared" ref="B61:D62" si="11">IF(($E55&gt;0),B55,B54)</f>
        <v>per 100 arrests</v>
      </c>
      <c r="C61" s="49">
        <f t="shared" si="11"/>
        <v>0.15</v>
      </c>
      <c r="D61" s="49">
        <f t="shared" si="11"/>
        <v>0</v>
      </c>
      <c r="E61" s="49">
        <f>MAX(C61:D61)</f>
        <v>0.15</v>
      </c>
      <c r="G61" s="1" t="str">
        <f>G55</f>
        <v>per 100 arrests</v>
      </c>
      <c r="L61" s="58">
        <f>IF(($E55&gt;0),L55,L54)</f>
        <v>100</v>
      </c>
      <c r="M61" s="58"/>
    </row>
    <row r="62" spans="2:18" ht="15" hidden="1" customHeight="1">
      <c r="B62" s="49" t="str">
        <f t="shared" si="11"/>
        <v>per 100 referrals</v>
      </c>
      <c r="C62" s="49">
        <f t="shared" si="11"/>
        <v>1.59</v>
      </c>
      <c r="D62" s="49">
        <f t="shared" si="11"/>
        <v>0.01</v>
      </c>
      <c r="E62" s="49">
        <f>MAX(C62:D62)</f>
        <v>1.59</v>
      </c>
      <c r="G62" s="1" t="str">
        <f>G56</f>
        <v>per 100 referrals</v>
      </c>
      <c r="L62" s="58">
        <f>IF(($E56&gt;0),L56,L55)</f>
        <v>100</v>
      </c>
      <c r="M62" s="58"/>
    </row>
    <row r="63" spans="2:18" ht="15" hidden="1" customHeight="1">
      <c r="B63" s="49" t="str">
        <f>IF(($E57&gt;0),B57,B55)</f>
        <v>per 100 youth petitioned</v>
      </c>
      <c r="C63" s="49">
        <f>IF(($E57&gt;0),C57,C56)</f>
        <v>1.35</v>
      </c>
      <c r="D63" s="49">
        <f>IF(($E57&gt;0),D57,D56)</f>
        <v>0.01</v>
      </c>
      <c r="E63" s="49">
        <f>MAX(C63:D63)</f>
        <v>1.35</v>
      </c>
      <c r="G63" s="1" t="str">
        <f>G57</f>
        <v>per 100 youth petitioned</v>
      </c>
      <c r="L63" s="58">
        <f>IF(($E57&gt;0),L57,L56)</f>
        <v>100</v>
      </c>
      <c r="M63" s="58"/>
    </row>
    <row r="64" spans="2:18" ht="15" hidden="1" customHeight="1">
      <c r="B64" s="49" t="str">
        <f>IF(($E58&gt;0),B58,B57)</f>
        <v>per 100 youth found delinquent</v>
      </c>
      <c r="C64" s="49">
        <f>IF(($E58&gt;0),C58,C57)</f>
        <v>0.49</v>
      </c>
      <c r="D64" s="49">
        <f>IF(($E58&gt;0),D58,D57)</f>
        <v>0.01</v>
      </c>
      <c r="E64" s="56">
        <f>MAX(C64:D64)</f>
        <v>0.49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9.7799999999999994</v>
      </c>
      <c r="D66" s="56">
        <f>D60</f>
        <v>0.40200000000000002</v>
      </c>
      <c r="E66" s="56">
        <f>MAX(C66:D66)</f>
        <v>9.7799999999999994</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v>
      </c>
      <c r="E67" s="49">
        <f>MAX(C67:D67)</f>
        <v>0.15</v>
      </c>
      <c r="G67" s="1" t="str">
        <f>G61</f>
        <v>per 100 arrests</v>
      </c>
      <c r="L67" s="58">
        <f>IF(($E61&gt;0),L61,L60)</f>
        <v>100</v>
      </c>
      <c r="M67" s="58">
        <f>IF((B67=G67),1,2)</f>
        <v>1</v>
      </c>
    </row>
    <row r="68" spans="2:13" ht="15" hidden="1" customHeight="1">
      <c r="B68" s="49" t="str">
        <f t="shared" si="12"/>
        <v>per 100 referrals</v>
      </c>
      <c r="C68" s="49">
        <f t="shared" si="12"/>
        <v>1.59</v>
      </c>
      <c r="D68" s="49">
        <f t="shared" si="12"/>
        <v>0.01</v>
      </c>
      <c r="E68" s="49">
        <f>MAX(C68:D68)</f>
        <v>1.59</v>
      </c>
      <c r="G68" s="1" t="str">
        <f>G62</f>
        <v>per 100 referrals</v>
      </c>
      <c r="L68" s="58">
        <f>IF(($E62&gt;0),L62,L61)</f>
        <v>100</v>
      </c>
      <c r="M68" s="58">
        <f>IF((B68=G68),1,2)</f>
        <v>1</v>
      </c>
    </row>
    <row r="69" spans="2:13" ht="15" hidden="1" customHeight="1">
      <c r="B69" s="49" t="str">
        <f>IF(($E63&gt;0),B63,B61)</f>
        <v>per 100 youth petitioned</v>
      </c>
      <c r="C69" s="49">
        <f>IF(($E63&gt;0),C63,C62)</f>
        <v>1.35</v>
      </c>
      <c r="D69" s="49">
        <f>IF(($E63&gt;0),D63,D62)</f>
        <v>0.01</v>
      </c>
      <c r="E69" s="49">
        <f>MAX(C69:D69)</f>
        <v>1.35</v>
      </c>
      <c r="G69" s="1" t="str">
        <f>G63</f>
        <v>per 100 youth petitioned</v>
      </c>
      <c r="L69" s="58">
        <f>IF(($E63&gt;0),L63,L62)</f>
        <v>100</v>
      </c>
      <c r="M69" s="58">
        <f>IF((B69=G69),1,2)</f>
        <v>1</v>
      </c>
    </row>
    <row r="70" spans="2:13" ht="15" hidden="1" customHeight="1">
      <c r="B70" s="49" t="str">
        <f>IF(($E64&gt;0),B64,B63)</f>
        <v>per 100 youth found delinquent</v>
      </c>
      <c r="C70" s="49">
        <f>IF(($E64&gt;0),C64,C63)</f>
        <v>0.49</v>
      </c>
      <c r="D70" s="49">
        <f>IF(($E64&gt;0),D64,D63)</f>
        <v>0.01</v>
      </c>
      <c r="E70" s="56">
        <f>MAX(C70:D70)</f>
        <v>0.49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Calhoun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9780</v>
      </c>
      <c r="D6" s="34"/>
      <c r="E6" s="33">
        <f>'Data Entry'!E6</f>
        <v>1201</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1.5337423312883436</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1201</v>
      </c>
      <c r="P7" s="42">
        <f t="shared" ref="P7:P15" si="4">C7</f>
        <v>15</v>
      </c>
      <c r="Q7" s="42">
        <f>C6-C7</f>
        <v>9765</v>
      </c>
      <c r="R7" s="42">
        <f t="shared" ref="R7:R15" si="5">SUM(N7:Q7)</f>
        <v>10981</v>
      </c>
      <c r="S7" s="30">
        <f t="shared" ref="S7:S15" si="6">R7*((((N7*Q7)-(O7*P7))^2))</f>
        <v>3563776210725</v>
      </c>
      <c r="T7" s="30">
        <f t="shared" ref="T7:T15" si="7">(N7+O7)*(P7+Q7)*(N7+P7)*(O7+Q7)</f>
        <v>1932063352200</v>
      </c>
      <c r="U7" s="31">
        <f t="shared" ref="U7:U15" si="8">IF((S7&gt;0),S7/T7,"- -")</f>
        <v>1.8445441794996023</v>
      </c>
    </row>
    <row r="8" spans="2:21" ht="18" customHeight="1">
      <c r="B8" s="32" t="str">
        <f>'Data Entry'!A8</f>
        <v>3. Refer to Juvenile Court</v>
      </c>
      <c r="C8" s="33">
        <f>'Data Entry'!C8</f>
        <v>159</v>
      </c>
      <c r="D8" s="34">
        <f>IF((AND(C67&gt;0,C8&gt;0)),(C8/C67),0)</f>
        <v>1060</v>
      </c>
      <c r="E8" s="33">
        <f>'Data Entry'!E8</f>
        <v>4</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4</v>
      </c>
      <c r="O8" s="42">
        <f>((D67*L67)-E8)+0.05</f>
        <v>-3.95</v>
      </c>
      <c r="P8" s="42">
        <f t="shared" si="4"/>
        <v>159</v>
      </c>
      <c r="Q8" s="42">
        <f>(C$67*L67)-C8</f>
        <v>-144</v>
      </c>
      <c r="R8" s="42">
        <f t="shared" si="5"/>
        <v>15.050000000000011</v>
      </c>
      <c r="S8" s="30">
        <f t="shared" si="6"/>
        <v>40773.497625000142</v>
      </c>
      <c r="T8" s="30">
        <f t="shared" si="7"/>
        <v>-18086.887499999935</v>
      </c>
      <c r="U8" s="31">
        <f t="shared" si="8"/>
        <v>-2.254312557923539</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4</v>
      </c>
      <c r="P9" s="42">
        <f t="shared" si="4"/>
        <v>0</v>
      </c>
      <c r="Q9" s="42">
        <f>(C$68*L68)-C9</f>
        <v>159</v>
      </c>
      <c r="R9" s="42">
        <f t="shared" si="5"/>
        <v>163</v>
      </c>
      <c r="S9" s="30">
        <f t="shared" si="6"/>
        <v>0</v>
      </c>
      <c r="T9" s="30">
        <f t="shared" si="7"/>
        <v>0</v>
      </c>
      <c r="U9" s="31" t="str">
        <f t="shared" si="8"/>
        <v>- -</v>
      </c>
    </row>
    <row r="10" spans="2:21" ht="18" customHeight="1">
      <c r="B10" s="32" t="str">
        <f>'Data Entry'!A10</f>
        <v>5. Cases Involving Secure Detention</v>
      </c>
      <c r="C10" s="33">
        <f>'Data Entry'!C10</f>
        <v>50</v>
      </c>
      <c r="D10" s="34">
        <f>IF(((AND(C68&gt;0,C10&gt;0))),(C10/(C68)),0)</f>
        <v>31.446540880503143</v>
      </c>
      <c r="E10" s="33">
        <f>'Data Entry'!E10</f>
        <v>3</v>
      </c>
      <c r="F10" s="34">
        <f>IF(((AND($E$10&gt;0,$D$68&gt;0))),($E$10/($D$68)),0)</f>
        <v>75</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3</v>
      </c>
      <c r="O10" s="42">
        <f>(D$68*L68)-E10</f>
        <v>1</v>
      </c>
      <c r="P10" s="42">
        <f t="shared" si="4"/>
        <v>50</v>
      </c>
      <c r="Q10" s="42">
        <f>(C$68*L68)-C10</f>
        <v>109</v>
      </c>
      <c r="R10" s="42">
        <f t="shared" si="5"/>
        <v>163</v>
      </c>
      <c r="S10" s="30">
        <f t="shared" si="6"/>
        <v>12506827</v>
      </c>
      <c r="T10" s="30">
        <f t="shared" si="7"/>
        <v>3707880</v>
      </c>
      <c r="U10" s="31">
        <f t="shared" si="8"/>
        <v>3.3730398502648415</v>
      </c>
    </row>
    <row r="11" spans="2:21" ht="18" customHeight="1">
      <c r="B11" s="32" t="str">
        <f>'Data Entry'!A11</f>
        <v>6. Cases Petitioned (Charge Filed)</v>
      </c>
      <c r="C11" s="33">
        <f>'Data Entry'!C11</f>
        <v>135</v>
      </c>
      <c r="D11" s="34">
        <f>IF(((AND(C68&gt;0,C11&gt;0))),(C11/(C68)),0)</f>
        <v>84.905660377358487</v>
      </c>
      <c r="E11" s="33">
        <f>'Data Entry'!E11</f>
        <v>4</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4</v>
      </c>
      <c r="O11" s="42">
        <f>(D$68*L68)-E11</f>
        <v>0</v>
      </c>
      <c r="P11" s="42">
        <f t="shared" si="4"/>
        <v>135</v>
      </c>
      <c r="Q11" s="42">
        <f>(C$68*L68)-C11</f>
        <v>24</v>
      </c>
      <c r="R11" s="42">
        <f t="shared" si="5"/>
        <v>163</v>
      </c>
      <c r="S11" s="30">
        <f t="shared" si="6"/>
        <v>1502208</v>
      </c>
      <c r="T11" s="30">
        <f t="shared" si="7"/>
        <v>2121696</v>
      </c>
      <c r="U11" s="31">
        <f t="shared" si="8"/>
        <v>0.70802226143613411</v>
      </c>
    </row>
    <row r="12" spans="2:21" ht="18" customHeight="1">
      <c r="B12" s="32" t="str">
        <f>'Data Entry'!A12</f>
        <v>7. Cases Resulting in Delinquent Findings</v>
      </c>
      <c r="C12" s="33">
        <f>'Data Entry'!C12</f>
        <v>49</v>
      </c>
      <c r="D12" s="34">
        <f>IF(((AND(C69&gt;0,C12&gt;0))),(C12/(C69)),0)</f>
        <v>36.296296296296291</v>
      </c>
      <c r="E12" s="33">
        <f>'Data Entry'!E12</f>
        <v>2</v>
      </c>
      <c r="F12" s="34">
        <f>IF(((AND($D$69&gt;0,$E$12&gt;0))),(E12/(D69)),0)</f>
        <v>50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2</v>
      </c>
      <c r="P12" s="42">
        <f t="shared" si="4"/>
        <v>49</v>
      </c>
      <c r="Q12" s="42">
        <f>(C69*L69)-C12</f>
        <v>86</v>
      </c>
      <c r="R12" s="42">
        <f t="shared" si="5"/>
        <v>139</v>
      </c>
      <c r="S12" s="30">
        <f t="shared" si="6"/>
        <v>761164</v>
      </c>
      <c r="T12" s="30">
        <f t="shared" si="7"/>
        <v>2423520</v>
      </c>
      <c r="U12" s="31">
        <f t="shared" si="8"/>
        <v>0.31407374397570476</v>
      </c>
    </row>
    <row r="13" spans="2:21" ht="18" customHeight="1">
      <c r="B13" s="32" t="str">
        <f>'Data Entry'!A13</f>
        <v>8. Cases Resulting in Probation Placement</v>
      </c>
      <c r="C13" s="33">
        <f>'Data Entry'!C13</f>
        <v>54</v>
      </c>
      <c r="D13" s="34">
        <f>IF(((AND(C70&gt;0,C13&gt;0))),(C13/(C70)),0)</f>
        <v>110.20408163265306</v>
      </c>
      <c r="E13" s="33">
        <f>'Data Entry'!E13</f>
        <v>2</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v>
      </c>
      <c r="O13" s="42">
        <f>(D70*L70)-E13</f>
        <v>0</v>
      </c>
      <c r="P13" s="42">
        <f t="shared" si="4"/>
        <v>54</v>
      </c>
      <c r="Q13" s="42">
        <f>(C70*L70)-C13</f>
        <v>-5</v>
      </c>
      <c r="R13" s="42">
        <f t="shared" si="5"/>
        <v>51</v>
      </c>
      <c r="S13" s="30">
        <f t="shared" si="6"/>
        <v>5100</v>
      </c>
      <c r="T13" s="30">
        <f t="shared" si="7"/>
        <v>-27440</v>
      </c>
      <c r="U13" s="31">
        <f t="shared" si="8"/>
        <v>-0.1858600583090379</v>
      </c>
    </row>
    <row r="14" spans="2:21" ht="30.75" customHeight="1">
      <c r="B14" s="32" t="str">
        <f>'Data Entry'!A14</f>
        <v xml:space="preserve">9. Cases Resulting in Confinement in Secure Juvenile Correctional Facilities </v>
      </c>
      <c r="C14" s="33">
        <f>'Data Entry'!C14</f>
        <v>41</v>
      </c>
      <c r="D14" s="34">
        <f>IF(((AND(C70&gt;0,C14&gt;0))), ((C14/(C70))),0)</f>
        <v>83.673469387755105</v>
      </c>
      <c r="E14" s="33">
        <f>'Data Entry'!E14</f>
        <v>2</v>
      </c>
      <c r="F14" s="34">
        <f>IF(((AND($D$70&gt;0,$E$14&gt;0))), (($E$14/($D$70))),0)</f>
        <v>100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2</v>
      </c>
      <c r="O14" s="42">
        <f>(D70*L70)-E14</f>
        <v>0</v>
      </c>
      <c r="P14" s="42">
        <f t="shared" si="4"/>
        <v>41</v>
      </c>
      <c r="Q14" s="42">
        <f>(C70*L70)-C14</f>
        <v>8</v>
      </c>
      <c r="R14" s="42">
        <f t="shared" si="5"/>
        <v>51</v>
      </c>
      <c r="S14" s="30">
        <f t="shared" si="6"/>
        <v>13056</v>
      </c>
      <c r="T14" s="30">
        <f t="shared" si="7"/>
        <v>33712</v>
      </c>
      <c r="U14" s="31">
        <f t="shared" si="8"/>
        <v>0.38728049359278593</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v>
      </c>
      <c r="P15" s="42">
        <f t="shared" si="4"/>
        <v>0</v>
      </c>
      <c r="Q15" s="42">
        <f>(C69*L69)-C15</f>
        <v>135</v>
      </c>
      <c r="R15" s="42">
        <f t="shared" si="5"/>
        <v>139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9.7799999999999994</v>
      </c>
      <c r="D42" s="56">
        <f>E6/1000</f>
        <v>1.2010000000000001</v>
      </c>
      <c r="E42" s="56">
        <f>MAX(C42:D42)</f>
        <v>9.7799999999999994</v>
      </c>
      <c r="G42" s="1" t="str">
        <f>B42</f>
        <v>per 1000 youth</v>
      </c>
      <c r="L42" s="57">
        <v>1000</v>
      </c>
      <c r="M42" s="57"/>
      <c r="R42" s="49"/>
    </row>
    <row r="43" spans="2:18" ht="15" hidden="1" customHeight="1">
      <c r="B43" s="49" t="s">
        <v>87</v>
      </c>
      <c r="C43" s="56">
        <f>C7/100</f>
        <v>0.15</v>
      </c>
      <c r="D43" s="56">
        <f>E7/100</f>
        <v>0</v>
      </c>
      <c r="E43" s="56">
        <f>MAX(C43:D43,0)</f>
        <v>0.15</v>
      </c>
      <c r="G43" s="1" t="str">
        <f>B43</f>
        <v>per 100 arrests</v>
      </c>
      <c r="L43" s="57">
        <v>100</v>
      </c>
      <c r="M43" s="57"/>
      <c r="R43" s="49"/>
    </row>
    <row r="44" spans="2:18" ht="15" hidden="1" customHeight="1">
      <c r="B44" s="49" t="s">
        <v>88</v>
      </c>
      <c r="C44" s="56">
        <f>C8/100</f>
        <v>1.59</v>
      </c>
      <c r="D44" s="56">
        <f>E8/100</f>
        <v>0.04</v>
      </c>
      <c r="E44" s="56">
        <f>MAX(C44:D44,0)</f>
        <v>1.59</v>
      </c>
      <c r="G44" s="1" t="str">
        <f>B44</f>
        <v>per 100 referrals</v>
      </c>
      <c r="L44" s="57">
        <v>100</v>
      </c>
      <c r="M44" s="57"/>
      <c r="R44" s="49"/>
    </row>
    <row r="45" spans="2:18" ht="15" hidden="1" customHeight="1">
      <c r="B45" s="49" t="s">
        <v>89</v>
      </c>
      <c r="C45" s="49">
        <f>C11/100</f>
        <v>1.35</v>
      </c>
      <c r="D45" s="49">
        <f>E11/100</f>
        <v>0.04</v>
      </c>
      <c r="E45" s="56">
        <f>MAX(C45:D45,0)</f>
        <v>1.35</v>
      </c>
      <c r="G45" s="1" t="str">
        <f>B45</f>
        <v>per 100 youth petitioned</v>
      </c>
      <c r="L45" s="57">
        <v>100</v>
      </c>
      <c r="M45" s="57"/>
      <c r="R45" s="49"/>
    </row>
    <row r="46" spans="2:18" ht="15" hidden="1" customHeight="1">
      <c r="B46" s="49" t="s">
        <v>90</v>
      </c>
      <c r="C46" s="49">
        <f>C12/100</f>
        <v>0.49</v>
      </c>
      <c r="D46" s="49">
        <f>E12/100</f>
        <v>0.02</v>
      </c>
      <c r="E46" s="56">
        <f>MAX(C46:D46)</f>
        <v>0.49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9.7799999999999994</v>
      </c>
      <c r="D48" s="56">
        <f>D42</f>
        <v>1.2010000000000001</v>
      </c>
      <c r="E48" s="56">
        <f>MAX(C48:D48)</f>
        <v>9.7799999999999994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0.15</v>
      </c>
      <c r="D49" s="49">
        <f t="shared" si="9"/>
        <v>0</v>
      </c>
      <c r="E49" s="49">
        <f>MAX(C49:D49)</f>
        <v>0.15</v>
      </c>
      <c r="G49" s="1" t="str">
        <f>G43</f>
        <v>per 100 arrests</v>
      </c>
      <c r="L49" s="58">
        <f>IF(($E43&gt;0),L43,L42)</f>
        <v>100</v>
      </c>
      <c r="M49" s="58"/>
      <c r="N49" s="21"/>
      <c r="O49" s="21"/>
      <c r="P49" s="21"/>
      <c r="Q49" s="21"/>
      <c r="R49" s="21"/>
    </row>
    <row r="50" spans="2:18" ht="15" hidden="1" customHeight="1">
      <c r="B50" s="49" t="str">
        <f t="shared" si="9"/>
        <v>per 100 referrals</v>
      </c>
      <c r="C50" s="49">
        <f t="shared" si="9"/>
        <v>1.59</v>
      </c>
      <c r="D50" s="49">
        <f t="shared" si="9"/>
        <v>0.04</v>
      </c>
      <c r="E50" s="49">
        <f>MAX(C50:D50)</f>
        <v>1.59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1.35</v>
      </c>
      <c r="D51" s="49">
        <f>IF(($E45&gt;0),D45,D44)</f>
        <v>0.04</v>
      </c>
      <c r="E51" s="49">
        <f>MAX(C51:D51)</f>
        <v>1.35</v>
      </c>
      <c r="G51" s="1" t="str">
        <f>G45</f>
        <v>per 100 youth petitioned</v>
      </c>
      <c r="L51" s="58">
        <f>IF(($E45&gt;0),L45,L44)</f>
        <v>100</v>
      </c>
      <c r="M51" s="58"/>
    </row>
    <row r="52" spans="2:18" ht="15" hidden="1" customHeight="1">
      <c r="B52" s="49" t="str">
        <f>IF(($E46&gt;0),B46,B45)</f>
        <v>per 100 youth found delinquent</v>
      </c>
      <c r="C52" s="49">
        <f>IF(($E46&gt;0),C46,C45)</f>
        <v>0.49</v>
      </c>
      <c r="D52" s="49">
        <f>IF(($E46&gt;0),D46,D45)</f>
        <v>0.02</v>
      </c>
      <c r="E52" s="56">
        <f>MAX(C52:D52)</f>
        <v>0.49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9.7799999999999994</v>
      </c>
      <c r="D54" s="56">
        <f>D48</f>
        <v>1.2010000000000001</v>
      </c>
      <c r="E54" s="56">
        <f>MAX(C54:D54)</f>
        <v>9.7799999999999994</v>
      </c>
      <c r="G54" s="1" t="str">
        <f>G48</f>
        <v>per 1000 youth</v>
      </c>
      <c r="L54" s="58">
        <f>L48</f>
        <v>1000</v>
      </c>
      <c r="M54" s="58"/>
    </row>
    <row r="55" spans="2:18" ht="15" hidden="1" customHeight="1">
      <c r="B55" s="49" t="str">
        <f t="shared" ref="B55:D56" si="10">IF(($E49&gt;0),B49,B48)</f>
        <v>per 100 arrests</v>
      </c>
      <c r="C55" s="49">
        <f t="shared" si="10"/>
        <v>0.15</v>
      </c>
      <c r="D55" s="49">
        <f t="shared" si="10"/>
        <v>0</v>
      </c>
      <c r="E55" s="49">
        <f>MAX(C55:D55)</f>
        <v>0.15</v>
      </c>
      <c r="G55" s="1" t="str">
        <f>G49</f>
        <v>per 100 arrests</v>
      </c>
      <c r="L55" s="58">
        <f>IF(($E49&gt;0),L49,L48)</f>
        <v>100</v>
      </c>
      <c r="M55" s="58"/>
    </row>
    <row r="56" spans="2:18" ht="15" hidden="1" customHeight="1">
      <c r="B56" s="49" t="str">
        <f t="shared" si="10"/>
        <v>per 100 referrals</v>
      </c>
      <c r="C56" s="49">
        <f t="shared" si="10"/>
        <v>1.59</v>
      </c>
      <c r="D56" s="49">
        <f t="shared" si="10"/>
        <v>0.04</v>
      </c>
      <c r="E56" s="49">
        <f>MAX(C56:D56)</f>
        <v>1.59</v>
      </c>
      <c r="G56" s="1" t="str">
        <f>G50</f>
        <v>per 100 referrals</v>
      </c>
      <c r="L56" s="58">
        <f>IF(($E50&gt;0),L50,L49)</f>
        <v>100</v>
      </c>
      <c r="M56" s="58"/>
    </row>
    <row r="57" spans="2:18" ht="15" hidden="1" customHeight="1">
      <c r="B57" s="49" t="str">
        <f>IF(($E51&gt;0),B51,B49)</f>
        <v>per 100 youth petitioned</v>
      </c>
      <c r="C57" s="49">
        <f>IF(($E51&gt;0),C51,C50)</f>
        <v>1.35</v>
      </c>
      <c r="D57" s="49">
        <f>IF(($E51&gt;0),D51,D50)</f>
        <v>0.04</v>
      </c>
      <c r="E57" s="49">
        <f>MAX(C57:D57)</f>
        <v>1.35</v>
      </c>
      <c r="G57" s="1" t="str">
        <f>G51</f>
        <v>per 100 youth petitioned</v>
      </c>
      <c r="L57" s="58">
        <f>IF(($E51&gt;0),L51,L50)</f>
        <v>100</v>
      </c>
      <c r="M57" s="58"/>
    </row>
    <row r="58" spans="2:18" ht="15" hidden="1" customHeight="1">
      <c r="B58" s="49" t="str">
        <f>IF(($E52&gt;0),B52,B51)</f>
        <v>per 100 youth found delinquent</v>
      </c>
      <c r="C58" s="49">
        <f>IF(($E52&gt;0),C52,C51)</f>
        <v>0.49</v>
      </c>
      <c r="D58" s="49">
        <f>IF(($E52&gt;0),D52,D51)</f>
        <v>0.02</v>
      </c>
      <c r="E58" s="56">
        <f>MAX(C58:D58)</f>
        <v>0.49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9.7799999999999994</v>
      </c>
      <c r="D60" s="56">
        <f>D54</f>
        <v>1.2010000000000001</v>
      </c>
      <c r="E60" s="56">
        <f>MAX(C60:D60)</f>
        <v>9.7799999999999994</v>
      </c>
      <c r="G60" s="1" t="str">
        <f>G54</f>
        <v>per 1000 youth</v>
      </c>
      <c r="L60" s="58">
        <f>L54</f>
        <v>1000</v>
      </c>
      <c r="M60" s="58"/>
    </row>
    <row r="61" spans="2:18" ht="15" hidden="1" customHeight="1">
      <c r="B61" s="49" t="str">
        <f t="shared" ref="B61:D62" si="11">IF(($E55&gt;0),B55,B54)</f>
        <v>per 100 arrests</v>
      </c>
      <c r="C61" s="49">
        <f t="shared" si="11"/>
        <v>0.15</v>
      </c>
      <c r="D61" s="49">
        <f t="shared" si="11"/>
        <v>0</v>
      </c>
      <c r="E61" s="49">
        <f>MAX(C61:D61)</f>
        <v>0.15</v>
      </c>
      <c r="G61" s="1" t="str">
        <f>G55</f>
        <v>per 100 arrests</v>
      </c>
      <c r="L61" s="58">
        <f>IF(($E55&gt;0),L55,L54)</f>
        <v>100</v>
      </c>
      <c r="M61" s="58"/>
    </row>
    <row r="62" spans="2:18" ht="15" hidden="1" customHeight="1">
      <c r="B62" s="49" t="str">
        <f t="shared" si="11"/>
        <v>per 100 referrals</v>
      </c>
      <c r="C62" s="49">
        <f t="shared" si="11"/>
        <v>1.59</v>
      </c>
      <c r="D62" s="49">
        <f t="shared" si="11"/>
        <v>0.04</v>
      </c>
      <c r="E62" s="49">
        <f>MAX(C62:D62)</f>
        <v>1.59</v>
      </c>
      <c r="G62" s="1" t="str">
        <f>G56</f>
        <v>per 100 referrals</v>
      </c>
      <c r="L62" s="58">
        <f>IF(($E56&gt;0),L56,L55)</f>
        <v>100</v>
      </c>
      <c r="M62" s="58"/>
    </row>
    <row r="63" spans="2:18" ht="15" hidden="1" customHeight="1">
      <c r="B63" s="49" t="str">
        <f>IF(($E57&gt;0),B57,B55)</f>
        <v>per 100 youth petitioned</v>
      </c>
      <c r="C63" s="49">
        <f>IF(($E57&gt;0),C57,C56)</f>
        <v>1.35</v>
      </c>
      <c r="D63" s="49">
        <f>IF(($E57&gt;0),D57,D56)</f>
        <v>0.04</v>
      </c>
      <c r="E63" s="49">
        <f>MAX(C63:D63)</f>
        <v>1.35</v>
      </c>
      <c r="G63" s="1" t="str">
        <f>G57</f>
        <v>per 100 youth petitioned</v>
      </c>
      <c r="L63" s="58">
        <f>IF(($E57&gt;0),L57,L56)</f>
        <v>100</v>
      </c>
      <c r="M63" s="58"/>
    </row>
    <row r="64" spans="2:18" ht="15" hidden="1" customHeight="1">
      <c r="B64" s="49" t="str">
        <f>IF(($E58&gt;0),B58,B57)</f>
        <v>per 100 youth found delinquent</v>
      </c>
      <c r="C64" s="49">
        <f>IF(($E58&gt;0),C58,C57)</f>
        <v>0.49</v>
      </c>
      <c r="D64" s="49">
        <f>IF(($E58&gt;0),D58,D57)</f>
        <v>0.02</v>
      </c>
      <c r="E64" s="56">
        <f>MAX(C64:D64)</f>
        <v>0.49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9.7799999999999994</v>
      </c>
      <c r="D66" s="56">
        <f>D60</f>
        <v>1.2010000000000001</v>
      </c>
      <c r="E66" s="56">
        <f>MAX(C66:D66)</f>
        <v>9.7799999999999994</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v>
      </c>
      <c r="E67" s="49">
        <f>MAX(C67:D67)</f>
        <v>0.15</v>
      </c>
      <c r="G67" s="1" t="str">
        <f>G61</f>
        <v>per 100 arrests</v>
      </c>
      <c r="L67" s="58">
        <f>IF(($E61&gt;0),L61,L60)</f>
        <v>100</v>
      </c>
      <c r="M67" s="58">
        <f>IF((B67=G67),1,2)</f>
        <v>1</v>
      </c>
    </row>
    <row r="68" spans="2:13" ht="15" hidden="1" customHeight="1">
      <c r="B68" s="49" t="str">
        <f t="shared" si="12"/>
        <v>per 100 referrals</v>
      </c>
      <c r="C68" s="49">
        <f t="shared" si="12"/>
        <v>1.59</v>
      </c>
      <c r="D68" s="49">
        <f t="shared" si="12"/>
        <v>0.04</v>
      </c>
      <c r="E68" s="49">
        <f>MAX(C68:D68)</f>
        <v>1.59</v>
      </c>
      <c r="G68" s="1" t="str">
        <f>G62</f>
        <v>per 100 referrals</v>
      </c>
      <c r="L68" s="58">
        <f>IF(($E62&gt;0),L62,L61)</f>
        <v>100</v>
      </c>
      <c r="M68" s="58">
        <f>IF((B68=G68),1,2)</f>
        <v>1</v>
      </c>
    </row>
    <row r="69" spans="2:13" ht="15" hidden="1" customHeight="1">
      <c r="B69" s="49" t="str">
        <f>IF(($E63&gt;0),B63,B61)</f>
        <v>per 100 youth petitioned</v>
      </c>
      <c r="C69" s="49">
        <f>IF(($E63&gt;0),C63,C62)</f>
        <v>1.35</v>
      </c>
      <c r="D69" s="49">
        <f>IF(($E63&gt;0),D63,D62)</f>
        <v>0.04</v>
      </c>
      <c r="E69" s="49">
        <f>MAX(C69:D69)</f>
        <v>1.35</v>
      </c>
      <c r="G69" s="1" t="str">
        <f>G63</f>
        <v>per 100 youth petitioned</v>
      </c>
      <c r="L69" s="58">
        <f>IF(($E63&gt;0),L63,L62)</f>
        <v>100</v>
      </c>
      <c r="M69" s="58">
        <f>IF((B69=G69),1,2)</f>
        <v>1</v>
      </c>
    </row>
    <row r="70" spans="2:13" ht="15" hidden="1" customHeight="1">
      <c r="B70" s="49" t="str">
        <f>IF(($E64&gt;0),B64,B63)</f>
        <v>per 100 youth found delinquent</v>
      </c>
      <c r="C70" s="49">
        <f>IF(($E64&gt;0),C64,C63)</f>
        <v>0.49</v>
      </c>
      <c r="D70" s="49">
        <f>IF(($E64&gt;0),D64,D63)</f>
        <v>0.02</v>
      </c>
      <c r="E70" s="56">
        <f>MAX(C70:D70)</f>
        <v>0.49</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Calhoun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9780</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1.5337423312883436</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15</v>
      </c>
      <c r="Q7" s="42">
        <f>C6-C7</f>
        <v>9765</v>
      </c>
      <c r="R7" s="42">
        <f t="shared" ref="R7:R15" si="5">SUM(N7:Q7)</f>
        <v>9780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159</v>
      </c>
      <c r="D8" s="34">
        <f>IF((AND(C67&gt;0,C8&gt;0)),(C8/C67),0)</f>
        <v>1060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159</v>
      </c>
      <c r="Q8" s="42">
        <f>(C$67*L67)-C8</f>
        <v>-144</v>
      </c>
      <c r="R8" s="42">
        <f t="shared" si="5"/>
        <v>15.050000000000011</v>
      </c>
      <c r="S8" s="30">
        <f t="shared" si="6"/>
        <v>951.1976250000007</v>
      </c>
      <c r="T8" s="30">
        <f t="shared" si="7"/>
        <v>-17166.037499999999</v>
      </c>
      <c r="U8" s="31">
        <f t="shared" si="8"/>
        <v>-5.5411601250434227E-2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159</v>
      </c>
      <c r="R9" s="42">
        <f t="shared" si="5"/>
        <v>159</v>
      </c>
      <c r="S9" s="30">
        <f t="shared" si="6"/>
        <v>0</v>
      </c>
      <c r="T9" s="30">
        <f t="shared" si="7"/>
        <v>0</v>
      </c>
      <c r="U9" s="31" t="str">
        <f t="shared" si="8"/>
        <v>- -</v>
      </c>
    </row>
    <row r="10" spans="2:21" ht="18" customHeight="1">
      <c r="B10" s="32" t="str">
        <f>'Data Entry'!A10</f>
        <v>5. Cases Involving Secure Detention</v>
      </c>
      <c r="C10" s="33">
        <f>'Data Entry'!C10</f>
        <v>50</v>
      </c>
      <c r="D10" s="34">
        <f>IF(((AND(C68&gt;0,C10&gt;0))),(C10/(C68)),0)</f>
        <v>31.446540880503143</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50</v>
      </c>
      <c r="Q10" s="42">
        <f>(C$68*L68)-C10</f>
        <v>109</v>
      </c>
      <c r="R10" s="42">
        <f t="shared" si="5"/>
        <v>159</v>
      </c>
      <c r="S10" s="30">
        <f t="shared" si="6"/>
        <v>0</v>
      </c>
      <c r="T10" s="30">
        <f t="shared" si="7"/>
        <v>0</v>
      </c>
      <c r="U10" s="31" t="str">
        <f t="shared" si="8"/>
        <v>- -</v>
      </c>
    </row>
    <row r="11" spans="2:21" ht="18" customHeight="1">
      <c r="B11" s="32" t="str">
        <f>'Data Entry'!A11</f>
        <v>6. Cases Petitioned (Charge Filed)</v>
      </c>
      <c r="C11" s="33">
        <f>'Data Entry'!C11</f>
        <v>135</v>
      </c>
      <c r="D11" s="34">
        <f>IF(((AND(C68&gt;0,C11&gt;0))),(C11/(C68)),0)</f>
        <v>84.905660377358487</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135</v>
      </c>
      <c r="Q11" s="42">
        <f>(C$68*L68)-C11</f>
        <v>24</v>
      </c>
      <c r="R11" s="42">
        <f t="shared" si="5"/>
        <v>159</v>
      </c>
      <c r="S11" s="30">
        <f t="shared" si="6"/>
        <v>0</v>
      </c>
      <c r="T11" s="30">
        <f t="shared" si="7"/>
        <v>0</v>
      </c>
      <c r="U11" s="31" t="str">
        <f t="shared" si="8"/>
        <v>- -</v>
      </c>
    </row>
    <row r="12" spans="2:21" ht="18" customHeight="1">
      <c r="B12" s="32" t="str">
        <f>'Data Entry'!A12</f>
        <v>7. Cases Resulting in Delinquent Findings</v>
      </c>
      <c r="C12" s="33">
        <f>'Data Entry'!C12</f>
        <v>49</v>
      </c>
      <c r="D12" s="34">
        <f>IF(((AND(C69&gt;0,C12&gt;0))),(C12/(C69)),0)</f>
        <v>36.296296296296291</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49</v>
      </c>
      <c r="Q12" s="42">
        <f>(C69*L69)-C12</f>
        <v>86</v>
      </c>
      <c r="R12" s="42">
        <f t="shared" si="5"/>
        <v>135</v>
      </c>
      <c r="S12" s="30">
        <f t="shared" si="6"/>
        <v>0</v>
      </c>
      <c r="T12" s="30">
        <f t="shared" si="7"/>
        <v>0</v>
      </c>
      <c r="U12" s="31" t="str">
        <f t="shared" si="8"/>
        <v>- -</v>
      </c>
    </row>
    <row r="13" spans="2:21" ht="18" customHeight="1">
      <c r="B13" s="32" t="str">
        <f>'Data Entry'!A13</f>
        <v>8. Cases Resulting in Probation Placement</v>
      </c>
      <c r="C13" s="33">
        <f>'Data Entry'!C13</f>
        <v>54</v>
      </c>
      <c r="D13" s="34">
        <f>IF(((AND(C70&gt;0,C13&gt;0))),(C13/(C70)),0)</f>
        <v>110.20408163265306</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54</v>
      </c>
      <c r="Q13" s="42">
        <f>(C70*L70)-C13</f>
        <v>-5</v>
      </c>
      <c r="R13" s="42">
        <f t="shared" si="5"/>
        <v>49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41</v>
      </c>
      <c r="D14" s="34">
        <f>IF(((AND(C70&gt;0,C14&gt;0))), ((C14/(C70))),0)</f>
        <v>83.673469387755105</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41</v>
      </c>
      <c r="Q14" s="42">
        <f>(C70*L70)-C14</f>
        <v>8</v>
      </c>
      <c r="R14" s="42">
        <f t="shared" si="5"/>
        <v>49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135</v>
      </c>
      <c r="R15" s="42">
        <f t="shared" si="5"/>
        <v>135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9.7799999999999994</v>
      </c>
      <c r="D42" s="56">
        <f>E6/1000</f>
        <v>0</v>
      </c>
      <c r="E42" s="56">
        <f>MAX(C42:D42)</f>
        <v>9.7799999999999994</v>
      </c>
      <c r="G42" s="1" t="str">
        <f>B42</f>
        <v>per 1000 youth</v>
      </c>
      <c r="L42" s="57">
        <v>1000</v>
      </c>
      <c r="M42" s="57"/>
      <c r="R42" s="49"/>
    </row>
    <row r="43" spans="2:18" ht="15" hidden="1" customHeight="1">
      <c r="B43" s="49" t="s">
        <v>87</v>
      </c>
      <c r="C43" s="56">
        <f>C7/100</f>
        <v>0.15</v>
      </c>
      <c r="D43" s="56">
        <f>E7/100</f>
        <v>0</v>
      </c>
      <c r="E43" s="56">
        <f>MAX(C43:D43,0)</f>
        <v>0.15</v>
      </c>
      <c r="G43" s="1" t="str">
        <f>B43</f>
        <v>per 100 arrests</v>
      </c>
      <c r="L43" s="57">
        <v>100</v>
      </c>
      <c r="M43" s="57"/>
      <c r="R43" s="49"/>
    </row>
    <row r="44" spans="2:18" ht="15" hidden="1" customHeight="1">
      <c r="B44" s="49" t="s">
        <v>88</v>
      </c>
      <c r="C44" s="56">
        <f>C8/100</f>
        <v>1.59</v>
      </c>
      <c r="D44" s="56">
        <f>E8/100</f>
        <v>0</v>
      </c>
      <c r="E44" s="56">
        <f>MAX(C44:D44,0)</f>
        <v>1.59</v>
      </c>
      <c r="G44" s="1" t="str">
        <f>B44</f>
        <v>per 100 referrals</v>
      </c>
      <c r="L44" s="57">
        <v>100</v>
      </c>
      <c r="M44" s="57"/>
      <c r="R44" s="49"/>
    </row>
    <row r="45" spans="2:18" ht="15" hidden="1" customHeight="1">
      <c r="B45" s="49" t="s">
        <v>89</v>
      </c>
      <c r="C45" s="49">
        <f>C11/100</f>
        <v>1.35</v>
      </c>
      <c r="D45" s="49">
        <f>E11/100</f>
        <v>0</v>
      </c>
      <c r="E45" s="56">
        <f>MAX(C45:D45,0)</f>
        <v>1.35</v>
      </c>
      <c r="G45" s="1" t="str">
        <f>B45</f>
        <v>per 100 youth petitioned</v>
      </c>
      <c r="L45" s="57">
        <v>100</v>
      </c>
      <c r="M45" s="57"/>
      <c r="R45" s="49"/>
    </row>
    <row r="46" spans="2:18" ht="15" hidden="1" customHeight="1">
      <c r="B46" s="49" t="s">
        <v>90</v>
      </c>
      <c r="C46" s="49">
        <f>C12/100</f>
        <v>0.49</v>
      </c>
      <c r="D46" s="49">
        <f>E12/100</f>
        <v>0</v>
      </c>
      <c r="E46" s="56">
        <f>MAX(C46:D46)</f>
        <v>0.49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9.7799999999999994</v>
      </c>
      <c r="D48" s="56">
        <f>D42</f>
        <v>0</v>
      </c>
      <c r="E48" s="56">
        <f>MAX(C48:D48)</f>
        <v>9.7799999999999994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0.15</v>
      </c>
      <c r="D49" s="49">
        <f t="shared" si="9"/>
        <v>0</v>
      </c>
      <c r="E49" s="49">
        <f>MAX(C49:D49)</f>
        <v>0.15</v>
      </c>
      <c r="G49" s="1" t="str">
        <f>G43</f>
        <v>per 100 arrests</v>
      </c>
      <c r="L49" s="58">
        <f>IF(($E43&gt;0),L43,L42)</f>
        <v>100</v>
      </c>
      <c r="M49" s="58"/>
      <c r="N49" s="21"/>
      <c r="O49" s="21"/>
      <c r="P49" s="21"/>
      <c r="Q49" s="21"/>
      <c r="R49" s="21"/>
    </row>
    <row r="50" spans="2:18" ht="15" hidden="1" customHeight="1">
      <c r="B50" s="49" t="str">
        <f t="shared" si="9"/>
        <v>per 100 referrals</v>
      </c>
      <c r="C50" s="49">
        <f t="shared" si="9"/>
        <v>1.59</v>
      </c>
      <c r="D50" s="49">
        <f t="shared" si="9"/>
        <v>0</v>
      </c>
      <c r="E50" s="49">
        <f>MAX(C50:D50)</f>
        <v>1.59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1.35</v>
      </c>
      <c r="D51" s="49">
        <f>IF(($E45&gt;0),D45,D44)</f>
        <v>0</v>
      </c>
      <c r="E51" s="49">
        <f>MAX(C51:D51)</f>
        <v>1.35</v>
      </c>
      <c r="G51" s="1" t="str">
        <f>G45</f>
        <v>per 100 youth petitioned</v>
      </c>
      <c r="L51" s="58">
        <f>IF(($E45&gt;0),L45,L44)</f>
        <v>100</v>
      </c>
      <c r="M51" s="58"/>
    </row>
    <row r="52" spans="2:18" ht="15" hidden="1" customHeight="1">
      <c r="B52" s="49" t="str">
        <f>IF(($E46&gt;0),B46,B45)</f>
        <v>per 100 youth found delinquent</v>
      </c>
      <c r="C52" s="49">
        <f>IF(($E46&gt;0),C46,C45)</f>
        <v>0.49</v>
      </c>
      <c r="D52" s="49">
        <f>IF(($E46&gt;0),D46,D45)</f>
        <v>0</v>
      </c>
      <c r="E52" s="56">
        <f>MAX(C52:D52)</f>
        <v>0.49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9.7799999999999994</v>
      </c>
      <c r="D54" s="56">
        <f>D48</f>
        <v>0</v>
      </c>
      <c r="E54" s="56">
        <f>MAX(C54:D54)</f>
        <v>9.7799999999999994</v>
      </c>
      <c r="G54" s="1" t="str">
        <f>G48</f>
        <v>per 1000 youth</v>
      </c>
      <c r="L54" s="58">
        <f>L48</f>
        <v>1000</v>
      </c>
      <c r="M54" s="58"/>
    </row>
    <row r="55" spans="2:18" ht="15" hidden="1" customHeight="1">
      <c r="B55" s="49" t="str">
        <f t="shared" ref="B55:D56" si="10">IF(($E49&gt;0),B49,B48)</f>
        <v>per 100 arrests</v>
      </c>
      <c r="C55" s="49">
        <f t="shared" si="10"/>
        <v>0.15</v>
      </c>
      <c r="D55" s="49">
        <f t="shared" si="10"/>
        <v>0</v>
      </c>
      <c r="E55" s="49">
        <f>MAX(C55:D55)</f>
        <v>0.15</v>
      </c>
      <c r="G55" s="1" t="str">
        <f>G49</f>
        <v>per 100 arrests</v>
      </c>
      <c r="L55" s="58">
        <f>IF(($E49&gt;0),L49,L48)</f>
        <v>100</v>
      </c>
      <c r="M55" s="58"/>
    </row>
    <row r="56" spans="2:18" ht="15" hidden="1" customHeight="1">
      <c r="B56" s="49" t="str">
        <f t="shared" si="10"/>
        <v>per 100 referrals</v>
      </c>
      <c r="C56" s="49">
        <f t="shared" si="10"/>
        <v>1.59</v>
      </c>
      <c r="D56" s="49">
        <f t="shared" si="10"/>
        <v>0</v>
      </c>
      <c r="E56" s="49">
        <f>MAX(C56:D56)</f>
        <v>1.59</v>
      </c>
      <c r="G56" s="1" t="str">
        <f>G50</f>
        <v>per 100 referrals</v>
      </c>
      <c r="L56" s="58">
        <f>IF(($E50&gt;0),L50,L49)</f>
        <v>100</v>
      </c>
      <c r="M56" s="58"/>
    </row>
    <row r="57" spans="2:18" ht="15" hidden="1" customHeight="1">
      <c r="B57" s="49" t="str">
        <f>IF(($E51&gt;0),B51,B49)</f>
        <v>per 100 youth petitioned</v>
      </c>
      <c r="C57" s="49">
        <f>IF(($E51&gt;0),C51,C50)</f>
        <v>1.35</v>
      </c>
      <c r="D57" s="49">
        <f>IF(($E51&gt;0),D51,D50)</f>
        <v>0</v>
      </c>
      <c r="E57" s="49">
        <f>MAX(C57:D57)</f>
        <v>1.35</v>
      </c>
      <c r="G57" s="1" t="str">
        <f>G51</f>
        <v>per 100 youth petitioned</v>
      </c>
      <c r="L57" s="58">
        <f>IF(($E51&gt;0),L51,L50)</f>
        <v>100</v>
      </c>
      <c r="M57" s="58"/>
    </row>
    <row r="58" spans="2:18" ht="15" hidden="1" customHeight="1">
      <c r="B58" s="49" t="str">
        <f>IF(($E52&gt;0),B52,B51)</f>
        <v>per 100 youth found delinquent</v>
      </c>
      <c r="C58" s="49">
        <f>IF(($E52&gt;0),C52,C51)</f>
        <v>0.49</v>
      </c>
      <c r="D58" s="49">
        <f>IF(($E52&gt;0),D52,D51)</f>
        <v>0</v>
      </c>
      <c r="E58" s="56">
        <f>MAX(C58:D58)</f>
        <v>0.49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9.7799999999999994</v>
      </c>
      <c r="D60" s="56">
        <f>D54</f>
        <v>0</v>
      </c>
      <c r="E60" s="56">
        <f>MAX(C60:D60)</f>
        <v>9.7799999999999994</v>
      </c>
      <c r="G60" s="1" t="str">
        <f>G54</f>
        <v>per 1000 youth</v>
      </c>
      <c r="L60" s="58">
        <f>L54</f>
        <v>1000</v>
      </c>
      <c r="M60" s="58"/>
    </row>
    <row r="61" spans="2:18" ht="15" hidden="1" customHeight="1">
      <c r="B61" s="49" t="str">
        <f t="shared" ref="B61:D62" si="11">IF(($E55&gt;0),B55,B54)</f>
        <v>per 100 arrests</v>
      </c>
      <c r="C61" s="49">
        <f t="shared" si="11"/>
        <v>0.15</v>
      </c>
      <c r="D61" s="49">
        <f t="shared" si="11"/>
        <v>0</v>
      </c>
      <c r="E61" s="49">
        <f>MAX(C61:D61)</f>
        <v>0.15</v>
      </c>
      <c r="G61" s="1" t="str">
        <f>G55</f>
        <v>per 100 arrests</v>
      </c>
      <c r="L61" s="58">
        <f>IF(($E55&gt;0),L55,L54)</f>
        <v>100</v>
      </c>
      <c r="M61" s="58"/>
    </row>
    <row r="62" spans="2:18" ht="15" hidden="1" customHeight="1">
      <c r="B62" s="49" t="str">
        <f t="shared" si="11"/>
        <v>per 100 referrals</v>
      </c>
      <c r="C62" s="49">
        <f t="shared" si="11"/>
        <v>1.59</v>
      </c>
      <c r="D62" s="49">
        <f t="shared" si="11"/>
        <v>0</v>
      </c>
      <c r="E62" s="49">
        <f>MAX(C62:D62)</f>
        <v>1.59</v>
      </c>
      <c r="G62" s="1" t="str">
        <f>G56</f>
        <v>per 100 referrals</v>
      </c>
      <c r="L62" s="58">
        <f>IF(($E56&gt;0),L56,L55)</f>
        <v>100</v>
      </c>
      <c r="M62" s="58"/>
    </row>
    <row r="63" spans="2:18" ht="15" hidden="1" customHeight="1">
      <c r="B63" s="49" t="str">
        <f>IF(($E57&gt;0),B57,B55)</f>
        <v>per 100 youth petitioned</v>
      </c>
      <c r="C63" s="49">
        <f>IF(($E57&gt;0),C57,C56)</f>
        <v>1.35</v>
      </c>
      <c r="D63" s="49">
        <f>IF(($E57&gt;0),D57,D56)</f>
        <v>0</v>
      </c>
      <c r="E63" s="49">
        <f>MAX(C63:D63)</f>
        <v>1.35</v>
      </c>
      <c r="G63" s="1" t="str">
        <f>G57</f>
        <v>per 100 youth petitioned</v>
      </c>
      <c r="L63" s="58">
        <f>IF(($E57&gt;0),L57,L56)</f>
        <v>100</v>
      </c>
      <c r="M63" s="58"/>
    </row>
    <row r="64" spans="2:18" ht="15" hidden="1" customHeight="1">
      <c r="B64" s="49" t="str">
        <f>IF(($E58&gt;0),B58,B57)</f>
        <v>per 100 youth found delinquent</v>
      </c>
      <c r="C64" s="49">
        <f>IF(($E58&gt;0),C58,C57)</f>
        <v>0.49</v>
      </c>
      <c r="D64" s="49">
        <f>IF(($E58&gt;0),D58,D57)</f>
        <v>0</v>
      </c>
      <c r="E64" s="56">
        <f>MAX(C64:D64)</f>
        <v>0.49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9.7799999999999994</v>
      </c>
      <c r="D66" s="56">
        <f>D60</f>
        <v>0</v>
      </c>
      <c r="E66" s="56">
        <f>MAX(C66:D66)</f>
        <v>9.7799999999999994</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v>
      </c>
      <c r="E67" s="49">
        <f>MAX(C67:D67)</f>
        <v>0.15</v>
      </c>
      <c r="G67" s="1" t="str">
        <f>G61</f>
        <v>per 100 arrests</v>
      </c>
      <c r="L67" s="58">
        <f>IF(($E61&gt;0),L61,L60)</f>
        <v>100</v>
      </c>
      <c r="M67" s="58">
        <f>IF((B67=G67),1,2)</f>
        <v>1</v>
      </c>
    </row>
    <row r="68" spans="2:13" ht="15" hidden="1" customHeight="1">
      <c r="B68" s="49" t="str">
        <f t="shared" si="12"/>
        <v>per 100 referrals</v>
      </c>
      <c r="C68" s="49">
        <f t="shared" si="12"/>
        <v>1.59</v>
      </c>
      <c r="D68" s="49">
        <f t="shared" si="12"/>
        <v>0</v>
      </c>
      <c r="E68" s="49">
        <f>MAX(C68:D68)</f>
        <v>1.59</v>
      </c>
      <c r="G68" s="1" t="str">
        <f>G62</f>
        <v>per 100 referrals</v>
      </c>
      <c r="L68" s="58">
        <f>IF(($E62&gt;0),L62,L61)</f>
        <v>100</v>
      </c>
      <c r="M68" s="58">
        <f>IF((B68=G68),1,2)</f>
        <v>1</v>
      </c>
    </row>
    <row r="69" spans="2:13" ht="15" hidden="1" customHeight="1">
      <c r="B69" s="49" t="str">
        <f>IF(($E63&gt;0),B63,B61)</f>
        <v>per 100 youth petitioned</v>
      </c>
      <c r="C69" s="49">
        <f>IF(($E63&gt;0),C63,C62)</f>
        <v>1.35</v>
      </c>
      <c r="D69" s="49">
        <f>IF(($E63&gt;0),D63,D62)</f>
        <v>0</v>
      </c>
      <c r="E69" s="49">
        <f>MAX(C69:D69)</f>
        <v>1.35</v>
      </c>
      <c r="G69" s="1" t="str">
        <f>G63</f>
        <v>per 100 youth petitioned</v>
      </c>
      <c r="L69" s="58">
        <f>IF(($E63&gt;0),L63,L62)</f>
        <v>100</v>
      </c>
      <c r="M69" s="58">
        <f>IF((B69=G69),1,2)</f>
        <v>1</v>
      </c>
    </row>
    <row r="70" spans="2:13" ht="15" hidden="1" customHeight="1">
      <c r="B70" s="49" t="str">
        <f>IF(($E64&gt;0),B64,B63)</f>
        <v>per 100 youth found delinquent</v>
      </c>
      <c r="C70" s="49">
        <f>IF(($E64&gt;0),C64,C63)</f>
        <v>0.49</v>
      </c>
      <c r="D70" s="49">
        <f>IF(($E64&gt;0),D64,D63)</f>
        <v>0</v>
      </c>
      <c r="E70" s="56">
        <f>MAX(C70:D70)</f>
        <v>0.49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Calhoun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9780</v>
      </c>
      <c r="D6" s="34"/>
      <c r="E6" s="33">
        <f>'Data Entry'!H6</f>
        <v>111</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1.5337423312883436</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111</v>
      </c>
      <c r="P7" s="42">
        <f t="shared" ref="P7:P15" si="4">C7</f>
        <v>15</v>
      </c>
      <c r="Q7" s="42">
        <f>C6-C7</f>
        <v>9765</v>
      </c>
      <c r="R7" s="42">
        <f t="shared" ref="R7:R15" si="5">SUM(N7:Q7)</f>
        <v>9891</v>
      </c>
      <c r="S7" s="30">
        <f t="shared" ref="S7:S15" si="6">R7*((((N7*Q7)-(O7*P7))^2))</f>
        <v>27420077475</v>
      </c>
      <c r="T7" s="30">
        <f t="shared" ref="T7:T15" si="7">(N7+O7)*(P7+Q7)*(N7+P7)*(O7+Q7)</f>
        <v>160817821200</v>
      </c>
      <c r="U7" s="31">
        <f t="shared" ref="U7:U15" si="8">IF((S7&gt;0),S7/T7,"- -")</f>
        <v>0.1705039731939858</v>
      </c>
    </row>
    <row r="8" spans="2:21" ht="18" customHeight="1">
      <c r="B8" s="32" t="str">
        <f>'Data Entry'!A8</f>
        <v>3. Refer to Juvenile Court</v>
      </c>
      <c r="C8" s="33">
        <f>'Data Entry'!C8</f>
        <v>159</v>
      </c>
      <c r="D8" s="34">
        <f>IF((AND(C67&gt;0,C8&gt;0)),(C8/C67),0)</f>
        <v>1060</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159</v>
      </c>
      <c r="Q8" s="42">
        <f>(C$67*L67)-C8</f>
        <v>-144</v>
      </c>
      <c r="R8" s="42">
        <f t="shared" si="5"/>
        <v>15.050000000000011</v>
      </c>
      <c r="S8" s="30">
        <f t="shared" si="6"/>
        <v>951.1976250000007</v>
      </c>
      <c r="T8" s="30">
        <f t="shared" si="7"/>
        <v>-17166.037499999999</v>
      </c>
      <c r="U8" s="31">
        <f t="shared" si="8"/>
        <v>-5.5411601250434227E-2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159</v>
      </c>
      <c r="R9" s="42">
        <f t="shared" si="5"/>
        <v>159</v>
      </c>
      <c r="S9" s="30">
        <f t="shared" si="6"/>
        <v>0</v>
      </c>
      <c r="T9" s="30">
        <f t="shared" si="7"/>
        <v>0</v>
      </c>
      <c r="U9" s="31" t="str">
        <f t="shared" si="8"/>
        <v>- -</v>
      </c>
    </row>
    <row r="10" spans="2:21" ht="18" customHeight="1">
      <c r="B10" s="32" t="str">
        <f>'Data Entry'!A10</f>
        <v>5. Cases Involving Secure Detention</v>
      </c>
      <c r="C10" s="33">
        <f>'Data Entry'!C10</f>
        <v>50</v>
      </c>
      <c r="D10" s="34">
        <f>IF(((AND(C68&gt;0,C10&gt;0))),(C10/(C68)),0)</f>
        <v>31.446540880503143</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50</v>
      </c>
      <c r="Q10" s="42">
        <f>(C$68*L68)-C10</f>
        <v>109</v>
      </c>
      <c r="R10" s="42">
        <f t="shared" si="5"/>
        <v>159</v>
      </c>
      <c r="S10" s="30">
        <f t="shared" si="6"/>
        <v>0</v>
      </c>
      <c r="T10" s="30">
        <f t="shared" si="7"/>
        <v>0</v>
      </c>
      <c r="U10" s="31" t="str">
        <f t="shared" si="8"/>
        <v>- -</v>
      </c>
    </row>
    <row r="11" spans="2:21" ht="18" customHeight="1">
      <c r="B11" s="32" t="str">
        <f>'Data Entry'!A11</f>
        <v>6. Cases Petitioned (Charge Filed)</v>
      </c>
      <c r="C11" s="33">
        <f>'Data Entry'!C11</f>
        <v>135</v>
      </c>
      <c r="D11" s="34">
        <f>IF(((AND(C68&gt;0,C11&gt;0))),(C11/(C68)),0)</f>
        <v>84.905660377358487</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135</v>
      </c>
      <c r="Q11" s="42">
        <f>(C$68*L68)-C11</f>
        <v>24</v>
      </c>
      <c r="R11" s="42">
        <f t="shared" si="5"/>
        <v>159</v>
      </c>
      <c r="S11" s="30">
        <f t="shared" si="6"/>
        <v>0</v>
      </c>
      <c r="T11" s="30">
        <f t="shared" si="7"/>
        <v>0</v>
      </c>
      <c r="U11" s="31" t="str">
        <f t="shared" si="8"/>
        <v>- -</v>
      </c>
    </row>
    <row r="12" spans="2:21" ht="18" customHeight="1">
      <c r="B12" s="32" t="str">
        <f>'Data Entry'!A12</f>
        <v>7. Cases Resulting in Delinquent Findings</v>
      </c>
      <c r="C12" s="33">
        <f>'Data Entry'!C12</f>
        <v>49</v>
      </c>
      <c r="D12" s="34">
        <f>IF(((AND(C69&gt;0,C12&gt;0))),(C12/(C69)),0)</f>
        <v>36.296296296296291</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49</v>
      </c>
      <c r="Q12" s="42">
        <f>(C69*L69)-C12</f>
        <v>86</v>
      </c>
      <c r="R12" s="42">
        <f t="shared" si="5"/>
        <v>135</v>
      </c>
      <c r="S12" s="30">
        <f t="shared" si="6"/>
        <v>0</v>
      </c>
      <c r="T12" s="30">
        <f t="shared" si="7"/>
        <v>0</v>
      </c>
      <c r="U12" s="31" t="str">
        <f t="shared" si="8"/>
        <v>- -</v>
      </c>
    </row>
    <row r="13" spans="2:21" ht="18" customHeight="1">
      <c r="B13" s="32" t="str">
        <f>'Data Entry'!A13</f>
        <v>8. Cases Resulting in Probation Placement</v>
      </c>
      <c r="C13" s="33">
        <f>'Data Entry'!C13</f>
        <v>54</v>
      </c>
      <c r="D13" s="34">
        <f>IF(((AND(C70&gt;0,C13&gt;0))),(C13/(C70)),0)</f>
        <v>110.20408163265306</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54</v>
      </c>
      <c r="Q13" s="42">
        <f>(C70*L70)-C13</f>
        <v>-5</v>
      </c>
      <c r="R13" s="42">
        <f t="shared" si="5"/>
        <v>49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41</v>
      </c>
      <c r="D14" s="34">
        <f>IF(((AND(C70&gt;0,C14&gt;0))), ((C14/(C70))),0)</f>
        <v>83.673469387755105</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41</v>
      </c>
      <c r="Q14" s="42">
        <f>(C70*L70)-C14</f>
        <v>8</v>
      </c>
      <c r="R14" s="42">
        <f t="shared" si="5"/>
        <v>49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135</v>
      </c>
      <c r="R15" s="42">
        <f t="shared" si="5"/>
        <v>135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9.7799999999999994</v>
      </c>
      <c r="D42" s="56">
        <f>E6/1000</f>
        <v>0.111</v>
      </c>
      <c r="E42" s="56">
        <f>MAX(C42:D42)</f>
        <v>9.7799999999999994</v>
      </c>
      <c r="G42" s="1" t="str">
        <f>B42</f>
        <v>per 1000 youth</v>
      </c>
      <c r="L42" s="57">
        <v>1000</v>
      </c>
      <c r="M42" s="57"/>
      <c r="R42" s="49"/>
    </row>
    <row r="43" spans="2:18" ht="15" hidden="1" customHeight="1">
      <c r="B43" s="49" t="s">
        <v>87</v>
      </c>
      <c r="C43" s="56">
        <f>C7/100</f>
        <v>0.15</v>
      </c>
      <c r="D43" s="56">
        <f>E7/100</f>
        <v>0</v>
      </c>
      <c r="E43" s="56">
        <f>MAX(C43:D43,0)</f>
        <v>0.15</v>
      </c>
      <c r="G43" s="1" t="str">
        <f>B43</f>
        <v>per 100 arrests</v>
      </c>
      <c r="L43" s="57">
        <v>100</v>
      </c>
      <c r="M43" s="57"/>
      <c r="R43" s="49"/>
    </row>
    <row r="44" spans="2:18" ht="15" hidden="1" customHeight="1">
      <c r="B44" s="49" t="s">
        <v>88</v>
      </c>
      <c r="C44" s="56">
        <f>C8/100</f>
        <v>1.59</v>
      </c>
      <c r="D44" s="56">
        <f>E8/100</f>
        <v>0</v>
      </c>
      <c r="E44" s="56">
        <f>MAX(C44:D44,0)</f>
        <v>1.59</v>
      </c>
      <c r="G44" s="1" t="str">
        <f>B44</f>
        <v>per 100 referrals</v>
      </c>
      <c r="L44" s="57">
        <v>100</v>
      </c>
      <c r="M44" s="57"/>
      <c r="R44" s="49"/>
    </row>
    <row r="45" spans="2:18" ht="15" hidden="1" customHeight="1">
      <c r="B45" s="49" t="s">
        <v>89</v>
      </c>
      <c r="C45" s="49">
        <f>C11/100</f>
        <v>1.35</v>
      </c>
      <c r="D45" s="49">
        <f>E11/100</f>
        <v>0</v>
      </c>
      <c r="E45" s="56">
        <f>MAX(C45:D45,0)</f>
        <v>1.35</v>
      </c>
      <c r="G45" s="1" t="str">
        <f>B45</f>
        <v>per 100 youth petitioned</v>
      </c>
      <c r="L45" s="57">
        <v>100</v>
      </c>
      <c r="M45" s="57"/>
      <c r="R45" s="49"/>
    </row>
    <row r="46" spans="2:18" ht="15" hidden="1" customHeight="1">
      <c r="B46" s="49" t="s">
        <v>90</v>
      </c>
      <c r="C46" s="49">
        <f>C12/100</f>
        <v>0.49</v>
      </c>
      <c r="D46" s="49">
        <f>E12/100</f>
        <v>0</v>
      </c>
      <c r="E46" s="56">
        <f>MAX(C46:D46)</f>
        <v>0.49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9.7799999999999994</v>
      </c>
      <c r="D48" s="56">
        <f>D42</f>
        <v>0.111</v>
      </c>
      <c r="E48" s="56">
        <f>MAX(C48:D48)</f>
        <v>9.7799999999999994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0.15</v>
      </c>
      <c r="D49" s="49">
        <f t="shared" si="9"/>
        <v>0</v>
      </c>
      <c r="E49" s="49">
        <f>MAX(C49:D49)</f>
        <v>0.15</v>
      </c>
      <c r="G49" s="1" t="str">
        <f>G43</f>
        <v>per 100 arrests</v>
      </c>
      <c r="L49" s="58">
        <f>IF(($E43&gt;0),L43,L42)</f>
        <v>100</v>
      </c>
      <c r="M49" s="58"/>
      <c r="N49" s="21"/>
      <c r="O49" s="21"/>
      <c r="P49" s="21"/>
      <c r="Q49" s="21"/>
      <c r="R49" s="21"/>
    </row>
    <row r="50" spans="2:18" ht="15" hidden="1" customHeight="1">
      <c r="B50" s="49" t="str">
        <f t="shared" si="9"/>
        <v>per 100 referrals</v>
      </c>
      <c r="C50" s="49">
        <f t="shared" si="9"/>
        <v>1.59</v>
      </c>
      <c r="D50" s="49">
        <f t="shared" si="9"/>
        <v>0</v>
      </c>
      <c r="E50" s="49">
        <f>MAX(C50:D50)</f>
        <v>1.59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1.35</v>
      </c>
      <c r="D51" s="49">
        <f>IF(($E45&gt;0),D45,D44)</f>
        <v>0</v>
      </c>
      <c r="E51" s="49">
        <f>MAX(C51:D51)</f>
        <v>1.35</v>
      </c>
      <c r="G51" s="1" t="str">
        <f>G45</f>
        <v>per 100 youth petitioned</v>
      </c>
      <c r="L51" s="58">
        <f>IF(($E45&gt;0),L45,L44)</f>
        <v>100</v>
      </c>
      <c r="M51" s="58"/>
    </row>
    <row r="52" spans="2:18" ht="15" hidden="1" customHeight="1">
      <c r="B52" s="49" t="str">
        <f>IF(($E46&gt;0),B46,B45)</f>
        <v>per 100 youth found delinquent</v>
      </c>
      <c r="C52" s="49">
        <f>IF(($E46&gt;0),C46,C45)</f>
        <v>0.49</v>
      </c>
      <c r="D52" s="49">
        <f>IF(($E46&gt;0),D46,D45)</f>
        <v>0</v>
      </c>
      <c r="E52" s="56">
        <f>MAX(C52:D52)</f>
        <v>0.49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9.7799999999999994</v>
      </c>
      <c r="D54" s="56">
        <f>D48</f>
        <v>0.111</v>
      </c>
      <c r="E54" s="56">
        <f>MAX(C54:D54)</f>
        <v>9.7799999999999994</v>
      </c>
      <c r="G54" s="1" t="str">
        <f>G48</f>
        <v>per 1000 youth</v>
      </c>
      <c r="L54" s="58">
        <f>L48</f>
        <v>1000</v>
      </c>
      <c r="M54" s="58"/>
    </row>
    <row r="55" spans="2:18" ht="15" hidden="1" customHeight="1">
      <c r="B55" s="49" t="str">
        <f t="shared" ref="B55:D56" si="10">IF(($E49&gt;0),B49,B48)</f>
        <v>per 100 arrests</v>
      </c>
      <c r="C55" s="49">
        <f t="shared" si="10"/>
        <v>0.15</v>
      </c>
      <c r="D55" s="49">
        <f t="shared" si="10"/>
        <v>0</v>
      </c>
      <c r="E55" s="49">
        <f>MAX(C55:D55)</f>
        <v>0.15</v>
      </c>
      <c r="G55" s="1" t="str">
        <f>G49</f>
        <v>per 100 arrests</v>
      </c>
      <c r="L55" s="58">
        <f>IF(($E49&gt;0),L49,L48)</f>
        <v>100</v>
      </c>
      <c r="M55" s="58"/>
    </row>
    <row r="56" spans="2:18" ht="15" hidden="1" customHeight="1">
      <c r="B56" s="49" t="str">
        <f t="shared" si="10"/>
        <v>per 100 referrals</v>
      </c>
      <c r="C56" s="49">
        <f t="shared" si="10"/>
        <v>1.59</v>
      </c>
      <c r="D56" s="49">
        <f t="shared" si="10"/>
        <v>0</v>
      </c>
      <c r="E56" s="49">
        <f>MAX(C56:D56)</f>
        <v>1.59</v>
      </c>
      <c r="G56" s="1" t="str">
        <f>G50</f>
        <v>per 100 referrals</v>
      </c>
      <c r="L56" s="58">
        <f>IF(($E50&gt;0),L50,L49)</f>
        <v>100</v>
      </c>
      <c r="M56" s="58"/>
    </row>
    <row r="57" spans="2:18" ht="15" hidden="1" customHeight="1">
      <c r="B57" s="49" t="str">
        <f>IF(($E51&gt;0),B51,B49)</f>
        <v>per 100 youth petitioned</v>
      </c>
      <c r="C57" s="49">
        <f>IF(($E51&gt;0),C51,C50)</f>
        <v>1.35</v>
      </c>
      <c r="D57" s="49">
        <f>IF(($E51&gt;0),D51,D50)</f>
        <v>0</v>
      </c>
      <c r="E57" s="49">
        <f>MAX(C57:D57)</f>
        <v>1.35</v>
      </c>
      <c r="G57" s="1" t="str">
        <f>G51</f>
        <v>per 100 youth petitioned</v>
      </c>
      <c r="L57" s="58">
        <f>IF(($E51&gt;0),L51,L50)</f>
        <v>100</v>
      </c>
      <c r="M57" s="58"/>
    </row>
    <row r="58" spans="2:18" ht="15" hidden="1" customHeight="1">
      <c r="B58" s="49" t="str">
        <f>IF(($E52&gt;0),B52,B51)</f>
        <v>per 100 youth found delinquent</v>
      </c>
      <c r="C58" s="49">
        <f>IF(($E52&gt;0),C52,C51)</f>
        <v>0.49</v>
      </c>
      <c r="D58" s="49">
        <f>IF(($E52&gt;0),D52,D51)</f>
        <v>0</v>
      </c>
      <c r="E58" s="56">
        <f>MAX(C58:D58)</f>
        <v>0.49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9.7799999999999994</v>
      </c>
      <c r="D60" s="56">
        <f>D54</f>
        <v>0.111</v>
      </c>
      <c r="E60" s="56">
        <f>MAX(C60:D60)</f>
        <v>9.7799999999999994</v>
      </c>
      <c r="G60" s="1" t="str">
        <f>G54</f>
        <v>per 1000 youth</v>
      </c>
      <c r="L60" s="58">
        <f>L54</f>
        <v>1000</v>
      </c>
      <c r="M60" s="58"/>
    </row>
    <row r="61" spans="2:18" ht="15" hidden="1" customHeight="1">
      <c r="B61" s="49" t="str">
        <f t="shared" ref="B61:D62" si="11">IF(($E55&gt;0),B55,B54)</f>
        <v>per 100 arrests</v>
      </c>
      <c r="C61" s="49">
        <f t="shared" si="11"/>
        <v>0.15</v>
      </c>
      <c r="D61" s="49">
        <f t="shared" si="11"/>
        <v>0</v>
      </c>
      <c r="E61" s="49">
        <f>MAX(C61:D61)</f>
        <v>0.15</v>
      </c>
      <c r="G61" s="1" t="str">
        <f>G55</f>
        <v>per 100 arrests</v>
      </c>
      <c r="L61" s="58">
        <f>IF(($E55&gt;0),L55,L54)</f>
        <v>100</v>
      </c>
      <c r="M61" s="58"/>
    </row>
    <row r="62" spans="2:18" ht="15" hidden="1" customHeight="1">
      <c r="B62" s="49" t="str">
        <f t="shared" si="11"/>
        <v>per 100 referrals</v>
      </c>
      <c r="C62" s="49">
        <f t="shared" si="11"/>
        <v>1.59</v>
      </c>
      <c r="D62" s="49">
        <f t="shared" si="11"/>
        <v>0</v>
      </c>
      <c r="E62" s="49">
        <f>MAX(C62:D62)</f>
        <v>1.59</v>
      </c>
      <c r="G62" s="1" t="str">
        <f>G56</f>
        <v>per 100 referrals</v>
      </c>
      <c r="L62" s="58">
        <f>IF(($E56&gt;0),L56,L55)</f>
        <v>100</v>
      </c>
      <c r="M62" s="58"/>
    </row>
    <row r="63" spans="2:18" ht="15" hidden="1" customHeight="1">
      <c r="B63" s="49" t="str">
        <f>IF(($E57&gt;0),B57,B55)</f>
        <v>per 100 youth petitioned</v>
      </c>
      <c r="C63" s="49">
        <f>IF(($E57&gt;0),C57,C56)</f>
        <v>1.35</v>
      </c>
      <c r="D63" s="49">
        <f>IF(($E57&gt;0),D57,D56)</f>
        <v>0</v>
      </c>
      <c r="E63" s="49">
        <f>MAX(C63:D63)</f>
        <v>1.35</v>
      </c>
      <c r="G63" s="1" t="str">
        <f>G57</f>
        <v>per 100 youth petitioned</v>
      </c>
      <c r="L63" s="58">
        <f>IF(($E57&gt;0),L57,L56)</f>
        <v>100</v>
      </c>
      <c r="M63" s="58"/>
    </row>
    <row r="64" spans="2:18" ht="15" hidden="1" customHeight="1">
      <c r="B64" s="49" t="str">
        <f>IF(($E58&gt;0),B58,B57)</f>
        <v>per 100 youth found delinquent</v>
      </c>
      <c r="C64" s="49">
        <f>IF(($E58&gt;0),C58,C57)</f>
        <v>0.49</v>
      </c>
      <c r="D64" s="49">
        <f>IF(($E58&gt;0),D58,D57)</f>
        <v>0</v>
      </c>
      <c r="E64" s="56">
        <f>MAX(C64:D64)</f>
        <v>0.49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9.7799999999999994</v>
      </c>
      <c r="D66" s="56">
        <f>D60</f>
        <v>0.111</v>
      </c>
      <c r="E66" s="56">
        <f>MAX(C66:D66)</f>
        <v>9.7799999999999994</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v>
      </c>
      <c r="E67" s="49">
        <f>MAX(C67:D67)</f>
        <v>0.15</v>
      </c>
      <c r="G67" s="1" t="str">
        <f>G61</f>
        <v>per 100 arrests</v>
      </c>
      <c r="L67" s="58">
        <f>IF(($E61&gt;0),L61,L60)</f>
        <v>100</v>
      </c>
      <c r="M67" s="58">
        <f>IF((B67=G67),1,2)</f>
        <v>1</v>
      </c>
    </row>
    <row r="68" spans="2:13" ht="15" hidden="1" customHeight="1">
      <c r="B68" s="49" t="str">
        <f t="shared" si="12"/>
        <v>per 100 referrals</v>
      </c>
      <c r="C68" s="49">
        <f t="shared" si="12"/>
        <v>1.59</v>
      </c>
      <c r="D68" s="49">
        <f t="shared" si="12"/>
        <v>0</v>
      </c>
      <c r="E68" s="49">
        <f>MAX(C68:D68)</f>
        <v>1.59</v>
      </c>
      <c r="G68" s="1" t="str">
        <f>G62</f>
        <v>per 100 referrals</v>
      </c>
      <c r="L68" s="58">
        <f>IF(($E62&gt;0),L62,L61)</f>
        <v>100</v>
      </c>
      <c r="M68" s="58">
        <f>IF((B68=G68),1,2)</f>
        <v>1</v>
      </c>
    </row>
    <row r="69" spans="2:13" ht="15" hidden="1" customHeight="1">
      <c r="B69" s="49" t="str">
        <f>IF(($E63&gt;0),B63,B61)</f>
        <v>per 100 youth petitioned</v>
      </c>
      <c r="C69" s="49">
        <f>IF(($E63&gt;0),C63,C62)</f>
        <v>1.35</v>
      </c>
      <c r="D69" s="49">
        <f>IF(($E63&gt;0),D63,D62)</f>
        <v>0</v>
      </c>
      <c r="E69" s="49">
        <f>MAX(C69:D69)</f>
        <v>1.35</v>
      </c>
      <c r="G69" s="1" t="str">
        <f>G63</f>
        <v>per 100 youth petitioned</v>
      </c>
      <c r="L69" s="58">
        <f>IF(($E63&gt;0),L63,L62)</f>
        <v>100</v>
      </c>
      <c r="M69" s="58">
        <f>IF((B69=G69),1,2)</f>
        <v>1</v>
      </c>
    </row>
    <row r="70" spans="2:13" ht="15" hidden="1" customHeight="1">
      <c r="B70" s="49" t="str">
        <f>IF(($E64&gt;0),B64,B63)</f>
        <v>per 100 youth found delinquent</v>
      </c>
      <c r="C70" s="49">
        <f>IF(($E64&gt;0),C64,C63)</f>
        <v>0.49</v>
      </c>
      <c r="D70" s="49">
        <f>IF(($E64&gt;0),D64,D63)</f>
        <v>0</v>
      </c>
      <c r="E70" s="56">
        <f>MAX(C70:D70)</f>
        <v>0.49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U47JMPN4QEAR-1806752177-30518</_dlc_DocId>
    <_dlc_DocIdUrl xmlns="ac3811b5-0f3e-49e2-ba69-f2ffa0c782af">
      <Url>https://michiganphi.sharepoint.com/sites/CMDMC/_layouts/15/DocIdRedir.aspx?ID=U47JMPN4QEAR-1806752177-30518</Url>
      <Description>U47JMPN4QEAR-1806752177-30518</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7AC889A-EC4C-438D-80B0-B0483BBA7E8E}">
  <ds:schemaRefs>
    <ds:schemaRef ds:uri="http://schemas.microsoft.com/sharepoint/v3/contenttype/forms"/>
  </ds:schemaRefs>
</ds:datastoreItem>
</file>

<file path=customXml/itemProps2.xml><?xml version="1.0" encoding="utf-8"?>
<ds:datastoreItem xmlns:ds="http://schemas.openxmlformats.org/officeDocument/2006/customXml" ds:itemID="{CA1C0512-1E7A-4100-ABAD-E522E0A67983}">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4A8FCCB9-11AF-4973-9FF8-857D1C8BE73C}"/>
</file>

<file path=customXml/itemProps4.xml><?xml version="1.0" encoding="utf-8"?>
<ds:datastoreItem xmlns:ds="http://schemas.openxmlformats.org/officeDocument/2006/customXml" ds:itemID="{6205390F-9F89-4231-B578-8A9EAA79EF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2023-09-01T18:58:14Z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e3b269f6-ae7e-4d40-a3a4-02f123b849ab</vt:lpwstr>
  </property>
</Properties>
</file>