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07393A5B-6A0F-4CD3-B953-B8FD865DA617}"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8" i="3" s="1"/>
  <c r="G54" i="3" s="1"/>
  <c r="G60" i="3" s="1"/>
  <c r="G66" i="3" s="1"/>
  <c r="G43" i="3"/>
  <c r="G49" i="3"/>
  <c r="G55" i="3"/>
  <c r="G61" i="3" s="1"/>
  <c r="G67" i="3" s="1"/>
  <c r="G44" i="3"/>
  <c r="G50" i="3" s="1"/>
  <c r="G56" i="3" s="1"/>
  <c r="G62" i="3" s="1"/>
  <c r="G68" i="3" s="1"/>
  <c r="G45" i="3"/>
  <c r="G46" i="3"/>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G52" i="4" s="1"/>
  <c r="G58" i="4" s="1"/>
  <c r="G64" i="4" s="1"/>
  <c r="G70" i="4" s="1"/>
  <c r="L48" i="4"/>
  <c r="L54" i="4"/>
  <c r="L60" i="4" s="1"/>
  <c r="L66" i="4" s="1"/>
  <c r="G50" i="4"/>
  <c r="G56" i="4" s="1"/>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45" i="6"/>
  <c r="G51" i="6"/>
  <c r="G57" i="6" s="1"/>
  <c r="G63" i="6" s="1"/>
  <c r="G69" i="6" s="1"/>
  <c r="G46" i="6"/>
  <c r="G52" i="6"/>
  <c r="G58" i="6" s="1"/>
  <c r="G64" i="6" s="1"/>
  <c r="G70" i="6" s="1"/>
  <c r="L48" i="6"/>
  <c r="L54" i="6" s="1"/>
  <c r="L60" i="6" s="1"/>
  <c r="L66" i="6" s="1"/>
  <c r="G50" i="6"/>
  <c r="G56" i="6"/>
  <c r="G62" i="6"/>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c r="G69" i="7" s="1"/>
  <c r="G46" i="7"/>
  <c r="L48" i="7"/>
  <c r="G50" i="7"/>
  <c r="G56" i="7" s="1"/>
  <c r="G62" i="7" s="1"/>
  <c r="G68" i="7" s="1"/>
  <c r="G52" i="7"/>
  <c r="G58" i="7" s="1"/>
  <c r="G64" i="7" s="1"/>
  <c r="G70" i="7" s="1"/>
  <c r="L54" i="7"/>
  <c r="L60" i="7"/>
  <c r="L66" i="7"/>
  <c r="F1" i="8"/>
  <c r="B2" i="8"/>
  <c r="B3" i="8"/>
  <c r="B6" i="8"/>
  <c r="B7" i="8"/>
  <c r="B8" i="8"/>
  <c r="B9" i="8"/>
  <c r="B10" i="8"/>
  <c r="B11" i="8"/>
  <c r="B12" i="8"/>
  <c r="B13" i="8"/>
  <c r="B14" i="8"/>
  <c r="B15" i="8"/>
  <c r="B48" i="8"/>
  <c r="B54" i="8"/>
  <c r="B60" i="8" s="1"/>
  <c r="B66" i="8" s="1"/>
  <c r="J27" i="8"/>
  <c r="G42" i="8"/>
  <c r="G43" i="8"/>
  <c r="G49" i="8" s="1"/>
  <c r="G55" i="8" s="1"/>
  <c r="G61" i="8" s="1"/>
  <c r="G67" i="8" s="1"/>
  <c r="G44" i="8"/>
  <c r="G50" i="8" s="1"/>
  <c r="G56" i="8" s="1"/>
  <c r="G62" i="8" s="1"/>
  <c r="G68" i="8" s="1"/>
  <c r="G45" i="8"/>
  <c r="G46" i="8"/>
  <c r="G52" i="8" s="1"/>
  <c r="G58" i="8" s="1"/>
  <c r="G64" i="8" s="1"/>
  <c r="G70" i="8" s="1"/>
  <c r="G48" i="8"/>
  <c r="G54" i="8"/>
  <c r="G60" i="8"/>
  <c r="G66" i="8" s="1"/>
  <c r="L48" i="8"/>
  <c r="L54" i="8" s="1"/>
  <c r="L60" i="8" s="1"/>
  <c r="L66" i="8" s="1"/>
  <c r="G51" i="8"/>
  <c r="G57" i="8" s="1"/>
  <c r="G63" i="8" s="1"/>
  <c r="G69"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6" l="1"/>
  <c r="F27" i="6"/>
  <c r="F27" i="2"/>
  <c r="M66" i="2"/>
  <c r="M66" i="8"/>
  <c r="F27" i="8"/>
  <c r="F27" i="4"/>
  <c r="M66" i="4"/>
  <c r="F27" i="3"/>
  <c r="M66" i="3"/>
  <c r="M66" i="7"/>
  <c r="F27" i="7"/>
  <c r="F27" i="5"/>
  <c r="M66" i="5"/>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6" i="7" l="1"/>
  <c r="D43" i="6"/>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7" l="1"/>
  <c r="C49" i="7"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D51" i="2" l="1"/>
  <c r="E51" i="2" s="1"/>
  <c r="L51" i="2"/>
  <c r="E49" i="5"/>
  <c r="L55" i="5"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2" i="2"/>
  <c r="D55" i="5" l="1"/>
  <c r="C55" i="5"/>
  <c r="B55" i="5"/>
  <c r="B58" i="8"/>
  <c r="L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4" i="5" s="1"/>
  <c r="C66" i="6"/>
  <c r="E60" i="6"/>
  <c r="C66" i="2"/>
  <c r="E60" i="2"/>
  <c r="E56" i="6"/>
  <c r="E55" i="6"/>
  <c r="E55" i="7"/>
  <c r="E58" i="7"/>
  <c r="L64" i="3" l="1"/>
  <c r="L56" i="8"/>
  <c r="E58" i="8"/>
  <c r="L64" i="8" s="1"/>
  <c r="L64" i="5"/>
  <c r="D64" i="5"/>
  <c r="E64" i="5" s="1"/>
  <c r="B56" i="8"/>
  <c r="C57" i="8"/>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C63" i="3" l="1"/>
  <c r="E57" i="8"/>
  <c r="L63" i="8" s="1"/>
  <c r="D64" i="8"/>
  <c r="Q8" i="13"/>
  <c r="I7" i="9"/>
  <c r="B64" i="8"/>
  <c r="C64" i="8"/>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E63" i="3" l="1"/>
  <c r="C69" i="3" s="1"/>
  <c r="D15" i="3" s="1"/>
  <c r="D63" i="8"/>
  <c r="C63" i="8"/>
  <c r="B63" i="8"/>
  <c r="E64" i="8"/>
  <c r="B70" i="8" s="1"/>
  <c r="M70" i="8" s="1"/>
  <c r="B70" i="3"/>
  <c r="M70" i="3" s="1"/>
  <c r="D70" i="6"/>
  <c r="F14" i="6" s="1"/>
  <c r="C70" i="3"/>
  <c r="D14" i="3" s="1"/>
  <c r="L70" i="3"/>
  <c r="L70" i="6"/>
  <c r="C70" i="6"/>
  <c r="D14" i="6" s="1"/>
  <c r="C69" i="7"/>
  <c r="D12" i="7" s="1"/>
  <c r="L69" i="7"/>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D69" i="3"/>
  <c r="F29" i="4"/>
  <c r="F13" i="5"/>
  <c r="F13" i="4"/>
  <c r="F33" i="4"/>
  <c r="F10" i="4"/>
  <c r="O10" i="4"/>
  <c r="M67" i="5"/>
  <c r="O11" i="3"/>
  <c r="T11" i="3" s="1"/>
  <c r="O14" i="4"/>
  <c r="Q13" i="4"/>
  <c r="F30" i="3"/>
  <c r="Q9" i="3"/>
  <c r="O10" i="3"/>
  <c r="E68" i="3"/>
  <c r="O9" i="3"/>
  <c r="F31" i="3"/>
  <c r="F29" i="3"/>
  <c r="D14" i="4"/>
  <c r="L70" i="7"/>
  <c r="O14" i="7" s="1"/>
  <c r="M69" i="7"/>
  <c r="E64" i="2"/>
  <c r="L70" i="2" s="1"/>
  <c r="L67" i="6"/>
  <c r="F10" i="3"/>
  <c r="F11" i="3"/>
  <c r="D67" i="6"/>
  <c r="F8" i="6" s="1"/>
  <c r="L69" i="3"/>
  <c r="Q12" i="3"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F34" i="3" l="1"/>
  <c r="E69" i="3"/>
  <c r="D12" i="3"/>
  <c r="B69" i="3"/>
  <c r="M69" i="3" s="1"/>
  <c r="E63" i="8"/>
  <c r="D69" i="8" s="1"/>
  <c r="F15" i="8" s="1"/>
  <c r="F33" i="3"/>
  <c r="D70" i="8"/>
  <c r="F13" i="8" s="1"/>
  <c r="L70" i="8"/>
  <c r="C70" i="8"/>
  <c r="O14" i="6"/>
  <c r="E70" i="6"/>
  <c r="F13" i="6"/>
  <c r="B69" i="6"/>
  <c r="M69" i="6" s="1"/>
  <c r="Q13" i="3"/>
  <c r="Q12" i="7"/>
  <c r="Q14" i="3"/>
  <c r="D13" i="6"/>
  <c r="D13" i="3"/>
  <c r="Q13" i="6"/>
  <c r="Q14" i="6"/>
  <c r="O13" i="6"/>
  <c r="Q15" i="7"/>
  <c r="D15" i="7"/>
  <c r="O13" i="3"/>
  <c r="F14" i="3"/>
  <c r="E69" i="7"/>
  <c r="E70" i="3"/>
  <c r="C69" i="6"/>
  <c r="D12" i="6" s="1"/>
  <c r="F12" i="7"/>
  <c r="O12" i="7"/>
  <c r="K12" i="7" s="1"/>
  <c r="O15" i="7"/>
  <c r="O14" i="3"/>
  <c r="D69" i="6"/>
  <c r="F12" i="6" s="1"/>
  <c r="T10" i="3"/>
  <c r="K10" i="4"/>
  <c r="F8" i="7"/>
  <c r="T9" i="4"/>
  <c r="T11" i="4"/>
  <c r="K11" i="4"/>
  <c r="R10" i="4"/>
  <c r="S10" i="4" s="1"/>
  <c r="T8" i="3"/>
  <c r="U8" i="3" s="1"/>
  <c r="J8" i="3" s="1"/>
  <c r="F12" i="3"/>
  <c r="T13" i="4"/>
  <c r="T8" i="5"/>
  <c r="U8" i="5" s="1"/>
  <c r="J8" i="5" s="1"/>
  <c r="K8" i="5"/>
  <c r="E67" i="7"/>
  <c r="M67" i="7"/>
  <c r="D8" i="7"/>
  <c r="T10" i="4"/>
  <c r="K8" i="3"/>
  <c r="Q8" i="7"/>
  <c r="R8" i="7" s="1"/>
  <c r="S8" i="7" s="1"/>
  <c r="M69" i="2"/>
  <c r="K14" i="4"/>
  <c r="K13" i="4"/>
  <c r="Q8" i="6"/>
  <c r="O8" i="6"/>
  <c r="E67" i="6"/>
  <c r="F15" i="3"/>
  <c r="R13" i="4"/>
  <c r="S13" i="4" s="1"/>
  <c r="K9" i="4"/>
  <c r="R9" i="4"/>
  <c r="S9" i="4" s="1"/>
  <c r="U9" i="4" s="1"/>
  <c r="J9" i="4" s="1"/>
  <c r="M9" i="4" s="1"/>
  <c r="G9" i="4" s="1"/>
  <c r="G10" i="16" s="1"/>
  <c r="F32" i="2"/>
  <c r="R10" i="3"/>
  <c r="S10" i="3" s="1"/>
  <c r="F8" i="2"/>
  <c r="T14" i="4"/>
  <c r="B70" i="2"/>
  <c r="F33" i="2" s="1"/>
  <c r="D69" i="5"/>
  <c r="O15" i="5" s="1"/>
  <c r="T13" i="5"/>
  <c r="F34" i="7"/>
  <c r="M70" i="7"/>
  <c r="O13" i="7"/>
  <c r="K11" i="3"/>
  <c r="R11" i="3"/>
  <c r="S11" i="3" s="1"/>
  <c r="U11" i="3" s="1"/>
  <c r="J11" i="3" s="1"/>
  <c r="M11" i="3" s="1"/>
  <c r="L68" i="7"/>
  <c r="Q9" i="7" s="1"/>
  <c r="C69" i="5"/>
  <c r="Q12" i="5" s="1"/>
  <c r="B69" i="5"/>
  <c r="F32" i="5" s="1"/>
  <c r="D68" i="7"/>
  <c r="E68" i="7" s="1"/>
  <c r="B68" i="7"/>
  <c r="F31" i="7" s="1"/>
  <c r="K9" i="3"/>
  <c r="K10" i="3"/>
  <c r="R14" i="4"/>
  <c r="S14" i="4" s="1"/>
  <c r="D13" i="7"/>
  <c r="O12" i="3"/>
  <c r="R12" i="3" s="1"/>
  <c r="S12" i="3" s="1"/>
  <c r="R9" i="3"/>
  <c r="S9" i="3" s="1"/>
  <c r="T9" i="3"/>
  <c r="F34" i="8"/>
  <c r="R14" i="5"/>
  <c r="S14" i="5" s="1"/>
  <c r="U14" i="5" s="1"/>
  <c r="J14" i="5" s="1"/>
  <c r="M14" i="5" s="1"/>
  <c r="F33" i="8"/>
  <c r="C70" i="2"/>
  <c r="D14" i="2" s="1"/>
  <c r="T14" i="5"/>
  <c r="O15" i="3"/>
  <c r="K14" i="5"/>
  <c r="Q15" i="3"/>
  <c r="D70" i="2"/>
  <c r="O14" i="2" s="1"/>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U10" i="3" l="1"/>
  <c r="J10" i="3" s="1"/>
  <c r="M10" i="3" s="1"/>
  <c r="G10" i="3" s="1"/>
  <c r="I11" i="16" s="1"/>
  <c r="G11" i="3"/>
  <c r="F32" i="3"/>
  <c r="F35" i="3"/>
  <c r="C69" i="8"/>
  <c r="L69" i="8"/>
  <c r="O15" i="8" s="1"/>
  <c r="F12" i="8"/>
  <c r="B69" i="8"/>
  <c r="M69" i="8" s="1"/>
  <c r="Q13" i="8"/>
  <c r="D13" i="8"/>
  <c r="D14" i="8"/>
  <c r="Q14" i="8"/>
  <c r="O13" i="8"/>
  <c r="E70" i="8"/>
  <c r="F14" i="8"/>
  <c r="O14" i="8"/>
  <c r="U13" i="4"/>
  <c r="J13" i="4" s="1"/>
  <c r="L13" i="4" s="1"/>
  <c r="O14" i="16" s="1"/>
  <c r="R14" i="3"/>
  <c r="S14" i="3" s="1"/>
  <c r="U14" i="3" s="1"/>
  <c r="J14" i="3" s="1"/>
  <c r="M14" i="3" s="1"/>
  <c r="G14" i="3" s="1"/>
  <c r="I15" i="16" s="1"/>
  <c r="R14" i="6"/>
  <c r="S14" i="6" s="1"/>
  <c r="U14" i="6" s="1"/>
  <c r="J14" i="6" s="1"/>
  <c r="M14" i="6" s="1"/>
  <c r="G14" i="6" s="1"/>
  <c r="M15" i="13" s="1"/>
  <c r="K13" i="3"/>
  <c r="F32" i="6"/>
  <c r="F35" i="6"/>
  <c r="T15" i="7"/>
  <c r="R13" i="3"/>
  <c r="S13" i="3" s="1"/>
  <c r="U13" i="3" s="1"/>
  <c r="J13" i="3" s="1"/>
  <c r="T13" i="3"/>
  <c r="T14" i="6"/>
  <c r="D15" i="6"/>
  <c r="U10" i="4"/>
  <c r="J10" i="4" s="1"/>
  <c r="M10" i="4" s="1"/>
  <c r="G10" i="4" s="1"/>
  <c r="G11" i="16" s="1"/>
  <c r="K13" i="6"/>
  <c r="U14" i="4"/>
  <c r="J14" i="4" s="1"/>
  <c r="N30" i="4" s="1"/>
  <c r="K14" i="6"/>
  <c r="T13" i="6"/>
  <c r="R13" i="6"/>
  <c r="S13" i="6" s="1"/>
  <c r="R15" i="7"/>
  <c r="S15" i="7" s="1"/>
  <c r="U15" i="7" s="1"/>
  <c r="J15" i="7" s="1"/>
  <c r="M15" i="7" s="1"/>
  <c r="T12" i="7"/>
  <c r="O12" i="6"/>
  <c r="R12" i="7"/>
  <c r="S12" i="7" s="1"/>
  <c r="K15" i="7"/>
  <c r="E69" i="6"/>
  <c r="K14" i="3"/>
  <c r="T14" i="3"/>
  <c r="O15" i="6"/>
  <c r="Q12" i="6"/>
  <c r="Q15" i="6"/>
  <c r="F15" i="6"/>
  <c r="L11" i="4"/>
  <c r="O12" i="16" s="1"/>
  <c r="K8" i="7"/>
  <c r="O13" i="2"/>
  <c r="F35" i="8"/>
  <c r="T8" i="7"/>
  <c r="U8" i="7" s="1"/>
  <c r="J8" i="7" s="1"/>
  <c r="M8" i="7" s="1"/>
  <c r="T13" i="7"/>
  <c r="Q10" i="7"/>
  <c r="F13" i="2"/>
  <c r="Q11" i="7"/>
  <c r="R8" i="6"/>
  <c r="S8" i="6" s="1"/>
  <c r="F14" i="2"/>
  <c r="E69" i="8"/>
  <c r="F10" i="7"/>
  <c r="L10" i="3"/>
  <c r="P11" i="16" s="1"/>
  <c r="F30" i="7"/>
  <c r="D12" i="8"/>
  <c r="M68" i="7"/>
  <c r="F29" i="7"/>
  <c r="F15" i="5"/>
  <c r="D15" i="8"/>
  <c r="T8" i="6"/>
  <c r="K8" i="6"/>
  <c r="O12" i="5"/>
  <c r="R12" i="5" s="1"/>
  <c r="S12" i="5" s="1"/>
  <c r="U12" i="5" s="1"/>
  <c r="J12" i="5" s="1"/>
  <c r="F35" i="5"/>
  <c r="F12" i="5"/>
  <c r="M69" i="5"/>
  <c r="K8" i="2"/>
  <c r="M70" i="2"/>
  <c r="F9" i="7"/>
  <c r="O11" i="7"/>
  <c r="F34" i="2"/>
  <c r="O10" i="7"/>
  <c r="F11" i="7"/>
  <c r="O9" i="7"/>
  <c r="R9" i="7" s="1"/>
  <c r="S9" i="7" s="1"/>
  <c r="L11" i="3"/>
  <c r="P12" i="16" s="1"/>
  <c r="E69" i="5"/>
  <c r="K12" i="3"/>
  <c r="D15" i="5"/>
  <c r="T12" i="3"/>
  <c r="U12" i="3" s="1"/>
  <c r="J12" i="3" s="1"/>
  <c r="D12" i="5"/>
  <c r="Q15" i="5"/>
  <c r="K15" i="5" s="1"/>
  <c r="R15" i="3"/>
  <c r="S15" i="3" s="1"/>
  <c r="U15" i="3" s="1"/>
  <c r="J15" i="3" s="1"/>
  <c r="M15" i="3" s="1"/>
  <c r="G15" i="3" s="1"/>
  <c r="I16" i="16" s="1"/>
  <c r="I12" i="16"/>
  <c r="E11" i="9"/>
  <c r="I12" i="13"/>
  <c r="D13" i="2"/>
  <c r="E70" i="2"/>
  <c r="Q14" i="2"/>
  <c r="K14" i="2" s="1"/>
  <c r="L9" i="4"/>
  <c r="O10" i="16" s="1"/>
  <c r="R13" i="7"/>
  <c r="S13" i="7" s="1"/>
  <c r="Q13" i="2"/>
  <c r="U9" i="3"/>
  <c r="J9" i="3" s="1"/>
  <c r="L9" i="3" s="1"/>
  <c r="K15" i="3"/>
  <c r="T15" i="3"/>
  <c r="N30" i="5"/>
  <c r="L14" i="5"/>
  <c r="Q15" i="16" s="1"/>
  <c r="L13" i="5"/>
  <c r="Q14" i="16" s="1"/>
  <c r="K13" i="7"/>
  <c r="T8" i="2"/>
  <c r="U8" i="2" s="1"/>
  <c r="J8" i="2" s="1"/>
  <c r="M11" i="4"/>
  <c r="G11" i="4" s="1"/>
  <c r="T14" i="7"/>
  <c r="U14" i="7" s="1"/>
  <c r="J14" i="7" s="1"/>
  <c r="K14" i="7"/>
  <c r="E10" i="9"/>
  <c r="I11" i="13"/>
  <c r="D9" i="9"/>
  <c r="G10" i="13"/>
  <c r="T11" i="6"/>
  <c r="F29" i="8"/>
  <c r="M68" i="8"/>
  <c r="F30" i="8"/>
  <c r="F31" i="8"/>
  <c r="T11" i="2"/>
  <c r="K11" i="2"/>
  <c r="R11" i="2"/>
  <c r="S11" i="2" s="1"/>
  <c r="M11" i="5"/>
  <c r="L11" i="5"/>
  <c r="Q12"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I15" i="13" l="1"/>
  <c r="O12" i="8"/>
  <c r="Q15" i="8"/>
  <c r="T15" i="8" s="1"/>
  <c r="Q12" i="8"/>
  <c r="R12" i="8" s="1"/>
  <c r="S12" i="8" s="1"/>
  <c r="L14" i="3"/>
  <c r="P15" i="16" s="1"/>
  <c r="R14" i="8"/>
  <c r="S14" i="8" s="1"/>
  <c r="F32" i="8"/>
  <c r="N30" i="3"/>
  <c r="R13" i="8"/>
  <c r="S13" i="8" s="1"/>
  <c r="U13" i="8" s="1"/>
  <c r="J13" i="8" s="1"/>
  <c r="M13" i="8" s="1"/>
  <c r="M13" i="4"/>
  <c r="G13" i="4" s="1"/>
  <c r="G14" i="16" s="1"/>
  <c r="K13" i="8"/>
  <c r="K14" i="8"/>
  <c r="T14" i="8"/>
  <c r="T13" i="8"/>
  <c r="L13" i="3"/>
  <c r="P14" i="16" s="1"/>
  <c r="K12" i="6"/>
  <c r="E14" i="9"/>
  <c r="L10" i="4"/>
  <c r="O11" i="16" s="1"/>
  <c r="D10" i="9"/>
  <c r="M14" i="4"/>
  <c r="G14" i="4" s="1"/>
  <c r="G15" i="16" s="1"/>
  <c r="M13" i="3"/>
  <c r="G13" i="3" s="1"/>
  <c r="I14" i="16" s="1"/>
  <c r="U13" i="7"/>
  <c r="J13" i="7" s="1"/>
  <c r="M13" i="7" s="1"/>
  <c r="L15" i="7"/>
  <c r="S16" i="16" s="1"/>
  <c r="U13" i="6"/>
  <c r="J13" i="6" s="1"/>
  <c r="M13" i="6" s="1"/>
  <c r="G13" i="6" s="1"/>
  <c r="M14" i="13" s="1"/>
  <c r="T12" i="6"/>
  <c r="G11" i="13"/>
  <c r="L14" i="4"/>
  <c r="O15" i="16" s="1"/>
  <c r="U12" i="7"/>
  <c r="J12" i="7" s="1"/>
  <c r="T15" i="6"/>
  <c r="K15" i="6"/>
  <c r="R12" i="6"/>
  <c r="S12" i="6" s="1"/>
  <c r="R15" i="6"/>
  <c r="S15" i="6" s="1"/>
  <c r="M13" i="9"/>
  <c r="U14" i="13"/>
  <c r="U12" i="13"/>
  <c r="M11" i="9"/>
  <c r="T13" i="2"/>
  <c r="U8" i="6"/>
  <c r="J8" i="6" s="1"/>
  <c r="M8" i="6" s="1"/>
  <c r="G8" i="6" s="1"/>
  <c r="M9" i="13" s="1"/>
  <c r="R13" i="2"/>
  <c r="S13" i="2" s="1"/>
  <c r="V11" i="13"/>
  <c r="G14" i="9"/>
  <c r="K12" i="8"/>
  <c r="R10" i="7"/>
  <c r="S10" i="7" s="1"/>
  <c r="T11" i="7"/>
  <c r="T10" i="7"/>
  <c r="L8" i="2"/>
  <c r="N9" i="16" s="1"/>
  <c r="K13" i="2"/>
  <c r="R15" i="5"/>
  <c r="S15" i="5" s="1"/>
  <c r="U15" i="5" s="1"/>
  <c r="J15" i="5" s="1"/>
  <c r="M15" i="5" s="1"/>
  <c r="K11" i="7"/>
  <c r="T9" i="7"/>
  <c r="N10" i="9"/>
  <c r="N30" i="6"/>
  <c r="R11" i="7"/>
  <c r="S11" i="7" s="1"/>
  <c r="L14" i="6"/>
  <c r="R15" i="16" s="1"/>
  <c r="K12" i="5"/>
  <c r="L12" i="5" s="1"/>
  <c r="Q13" i="16" s="1"/>
  <c r="T12" i="5"/>
  <c r="K10" i="7"/>
  <c r="R14" i="2"/>
  <c r="S14" i="2" s="1"/>
  <c r="K9" i="7"/>
  <c r="T14" i="2"/>
  <c r="V12" i="13"/>
  <c r="U10" i="13"/>
  <c r="N11" i="9"/>
  <c r="T15" i="5"/>
  <c r="W14" i="13"/>
  <c r="L15" i="3"/>
  <c r="P16" i="16" s="1"/>
  <c r="M9" i="3"/>
  <c r="G9" i="3" s="1"/>
  <c r="I10" i="13" s="1"/>
  <c r="G12" i="13"/>
  <c r="G12" i="16"/>
  <c r="N9" i="9"/>
  <c r="P10" i="16"/>
  <c r="M14" i="7"/>
  <c r="N30" i="7"/>
  <c r="L14" i="7"/>
  <c r="S15" i="16" s="1"/>
  <c r="L8" i="7"/>
  <c r="S9" i="16" s="1"/>
  <c r="O13" i="9"/>
  <c r="M9" i="9"/>
  <c r="O14" i="9"/>
  <c r="V10" i="13"/>
  <c r="W15" i="13"/>
  <c r="U12" i="2"/>
  <c r="J12" i="2" s="1"/>
  <c r="L12" i="2" s="1"/>
  <c r="N13" i="16" s="1"/>
  <c r="D11" i="9"/>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N8" i="9"/>
  <c r="V9" i="13"/>
  <c r="O11" i="9"/>
  <c r="W12" i="13"/>
  <c r="E8" i="9"/>
  <c r="I9" i="13"/>
  <c r="O8" i="9"/>
  <c r="W9"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L12" i="3"/>
  <c r="P13" i="16" s="1"/>
  <c r="M12" i="3"/>
  <c r="G12" i="3" s="1"/>
  <c r="I13" i="16" s="1"/>
  <c r="K9" i="8"/>
  <c r="T9" i="8"/>
  <c r="R15" i="8" l="1"/>
  <c r="S15" i="8" s="1"/>
  <c r="U14" i="8"/>
  <c r="J14" i="8" s="1"/>
  <c r="N30" i="8" s="1"/>
  <c r="V15" i="13"/>
  <c r="G13" i="8"/>
  <c r="K14" i="16" s="1"/>
  <c r="D13" i="9"/>
  <c r="T12" i="8"/>
  <c r="U12" i="8" s="1"/>
  <c r="J12" i="8" s="1"/>
  <c r="L12" i="8" s="1"/>
  <c r="T13" i="16" s="1"/>
  <c r="U15" i="8"/>
  <c r="J15" i="8" s="1"/>
  <c r="N14" i="9"/>
  <c r="V14" i="13"/>
  <c r="K15" i="8"/>
  <c r="U11" i="13"/>
  <c r="G14" i="13"/>
  <c r="N13" i="9"/>
  <c r="M10" i="9"/>
  <c r="U12" i="6"/>
  <c r="J12" i="6" s="1"/>
  <c r="M12" i="6" s="1"/>
  <c r="G12" i="6" s="1"/>
  <c r="M13" i="13" s="1"/>
  <c r="U15" i="6"/>
  <c r="J15" i="6" s="1"/>
  <c r="M15" i="6" s="1"/>
  <c r="G15" i="6" s="1"/>
  <c r="G15" i="9" s="1"/>
  <c r="M14" i="9"/>
  <c r="D14" i="9"/>
  <c r="Q15" i="9"/>
  <c r="Y16" i="13"/>
  <c r="G15" i="13"/>
  <c r="E13" i="9"/>
  <c r="I14" i="13"/>
  <c r="L13" i="7"/>
  <c r="S14" i="16" s="1"/>
  <c r="L13" i="6"/>
  <c r="R14" i="16" s="1"/>
  <c r="U11" i="7"/>
  <c r="J11" i="7" s="1"/>
  <c r="L11" i="7" s="1"/>
  <c r="S12" i="16" s="1"/>
  <c r="G13" i="9"/>
  <c r="U15" i="13"/>
  <c r="L13" i="8"/>
  <c r="T14" i="16" s="1"/>
  <c r="U14" i="2"/>
  <c r="J14" i="2" s="1"/>
  <c r="M14" i="2" s="1"/>
  <c r="G14" i="2" s="1"/>
  <c r="E15" i="16" s="1"/>
  <c r="L12" i="7"/>
  <c r="M12" i="7"/>
  <c r="U13" i="2"/>
  <c r="J13" i="2" s="1"/>
  <c r="M13" i="2" s="1"/>
  <c r="G13" i="2" s="1"/>
  <c r="U10" i="7"/>
  <c r="J10" i="7" s="1"/>
  <c r="M10" i="7" s="1"/>
  <c r="L8" i="6"/>
  <c r="R9" i="16" s="1"/>
  <c r="L15" i="5"/>
  <c r="Q16" i="16" s="1"/>
  <c r="T9" i="13"/>
  <c r="L8" i="9"/>
  <c r="X15" i="13"/>
  <c r="P14" i="9"/>
  <c r="G8" i="9"/>
  <c r="Q14" i="9"/>
  <c r="Y15" i="13"/>
  <c r="E9" i="13"/>
  <c r="L10" i="2"/>
  <c r="N11" i="16" s="1"/>
  <c r="L11" i="6"/>
  <c r="R12" i="16" s="1"/>
  <c r="V16" i="13"/>
  <c r="N15" i="9"/>
  <c r="I10" i="16"/>
  <c r="C8" i="9"/>
  <c r="E9" i="9"/>
  <c r="G11" i="9"/>
  <c r="M12"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M14" i="8" l="1"/>
  <c r="G14" i="8" s="1"/>
  <c r="K15" i="16" s="1"/>
  <c r="L14" i="8"/>
  <c r="T15" i="16" s="1"/>
  <c r="I13" i="9"/>
  <c r="Q14" i="13"/>
  <c r="G12" i="9"/>
  <c r="L12" i="6"/>
  <c r="R13" i="16" s="1"/>
  <c r="M16" i="13"/>
  <c r="L15" i="6"/>
  <c r="R16" i="16" s="1"/>
  <c r="M11" i="7"/>
  <c r="X14" i="13"/>
  <c r="P13" i="9"/>
  <c r="Y14" i="13"/>
  <c r="Q13" i="9"/>
  <c r="Z14" i="13"/>
  <c r="R14" i="9"/>
  <c r="R13" i="9"/>
  <c r="X16" i="13"/>
  <c r="Z15" i="13"/>
  <c r="E14" i="16"/>
  <c r="E14" i="13"/>
  <c r="N30" i="2"/>
  <c r="M12" i="8"/>
  <c r="G12" i="8" s="1"/>
  <c r="K13" i="16" s="1"/>
  <c r="L14" i="2"/>
  <c r="N15" i="16" s="1"/>
  <c r="L13" i="2"/>
  <c r="N14" i="16" s="1"/>
  <c r="C14" i="9"/>
  <c r="L10" i="7"/>
  <c r="S11" i="16" s="1"/>
  <c r="E15" i="13"/>
  <c r="S13" i="16"/>
  <c r="Q12" i="9"/>
  <c r="Y13" i="13"/>
  <c r="C13" i="9"/>
  <c r="P8" i="9"/>
  <c r="X9"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P12" i="9" l="1"/>
  <c r="X13" i="13"/>
  <c r="I14" i="9"/>
  <c r="Q15" i="13"/>
  <c r="P15" i="9"/>
  <c r="T15" i="13"/>
  <c r="I12" i="9"/>
  <c r="Q13" i="13"/>
  <c r="Q10" i="9"/>
  <c r="L14" i="9"/>
  <c r="T14" i="13"/>
  <c r="L13" i="9"/>
  <c r="Y11" i="13"/>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<sst xmlns="http://schemas.openxmlformats.org/spreadsheetml/2006/main" count="654" uniqueCount="141">
  <si>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</si>
  <si>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</si>
  <si>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</si>
  <si>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</si>
  <si>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</si>
  <si>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</si>
  <si>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</si>
  <si>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</si>
  <si>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</si>
  <si>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</si>
  <si>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</si>
  <si>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</si>
  <si>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</si>
  <si>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</si>
  <si>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</si>
  <si>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</si>
  <si>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</si>
  <si>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</si>
  <si>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</si>
  <si>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</si>
  <si>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</si>
  <si>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</si>
  <si>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</si>
  <si>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</si>
  <si>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</si>
  <si>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</si>
  <si>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</si>
  <si>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</si>
  <si>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</si>
  <si>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</si>
  <si>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</si>
  <si>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</si>
  <si>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</si>
  <si>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</si>
  <si>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</si>
  <si>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</si>
  <si>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</si>
  <si>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</si>
  <si>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</si>
  <si>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</si>
  <si>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</si>
  <si>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</si>
  <si>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</si>
  <si>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</si>
  <si>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</si>
  <si>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</si>
  <si>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</si>
  <si>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</si>
  <si>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</si>
  <si>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</si>
  <si>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</si>
  <si>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</si>
  <si>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</si>
  <si>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</si>
  <si>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</si>
  <si>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</si>
  <si>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</si>
  <si>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</si>
  <si>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</si>
  <si>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</si>
  <si>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</si>
  <si>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</si>
  <si>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</si>
  <si>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</si>
  <si>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</si>
  <si>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</si>
  <si>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</si>
  <si>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</si>
  <si>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</si>
  <si>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</si>
  <si>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</si>
  <si>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</si>
  <si>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</si>
  <si>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</si>
  <si>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</si>
  <si>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</si>
  <si>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</si>
  <si>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</si>
  <si>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</si>
  <si>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</si>
  <si>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</si>
  <si>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</si>
  <si>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</si>
  <si>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</si>
  <si>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</si>
  <si>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</si>
  <si>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</si>
  <si>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</si>
  <si>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</si>
  <si>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</si>
  <si>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</si>
  <si>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</si>
  <si>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</si>
  <si>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</si>
  <si>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</si>
  <si>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</si>
  <si>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</si>
  <si>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</si>
  <si>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</si>
  <si>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</si>
  <si>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</si>
  <si>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</si>
  <si>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</si>
  <si>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</si>
  <si>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</si>
  <si>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</si>
  <si>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</si>
  <si>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</si>
  <si>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</si>
  <si>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</si>
  <si>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</si>
  <si>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</si>
  <si>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</si>
  <si>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</si>
  <si>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</si>
  <si>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</si>
  <si>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</si>
  <si>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</si>
  <si>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</si>
  <si>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</si>
  <si>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</si>
  <si>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</si>
  <si>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</si>
  <si>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</si>
  <si>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</si>
  <si>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</si>
  <si>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</si>
  <si>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</si>
  <si>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</si>
  <si>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</si>
  <si>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</si>
  <si>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</si>
  <si>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</si>
  <si>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</si>
  <si>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</si>
  <si>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</si>
  <si>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</si>
  <si>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Calhoun</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</si>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</sst>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4" fillId="0" borderId="0" xfId="0" applyNumberFormat="1" applyFont="1" applyFill="1" applyBorder="1" applyAlignment="1" applyProtection="1">
      <alignment vertical="top" wrapText="1"/>
    </xf>
    <xf numFmtId="4" fontId="2" fillId="2"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Calhoun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N=94</c:v>
                </c:pt>
                <c:pt idx="2">
                  <c:v>Delinquent Findings, total N=74</c:v>
                </c:pt>
                <c:pt idx="3">
                  <c:v>Petitions, total N=227</c:v>
                </c:pt>
                <c:pt idx="4">
                  <c:v>Detentions, total N=116</c:v>
                </c:pt>
                <c:pt idx="5">
                  <c:v>Referrals, total N=246</c:v>
                </c:pt>
                <c:pt idx="6">
                  <c:v>Arrests, total N=7</c:v>
                </c:pt>
                <c:pt idx="7">
                  <c:v>Population, total N=12080</c:v>
                </c:pt>
              </c:strCache>
            </c:strRef>
          </c:cat>
          <c:val>
            <c:numRef>
              <c:f>'Stacked 100%'!$B$7:$B$14</c:f>
              <c:numCache>
                <c:formatCode>0%</c:formatCode>
                <c:ptCount val="8"/>
                <c:pt idx="0">
                  <c:v>0</c:v>
                </c:pt>
                <c:pt idx="1">
                  <c:v>0.43617021276595747</c:v>
                </c:pt>
                <c:pt idx="2">
                  <c:v>0.36486486486486486</c:v>
                </c:pt>
                <c:pt idx="3">
                  <c:v>0.41850220264317178</c:v>
                </c:pt>
                <c:pt idx="4">
                  <c:v>0.43103448275862066</c:v>
                </c:pt>
                <c:pt idx="5">
                  <c:v>0.41869918699186992</c:v>
                </c:pt>
                <c:pt idx="6">
                  <c:v>0.42857142857142855</c:v>
                </c:pt>
                <c:pt idx="7">
                  <c:v>0.16937086092715231</c:v>
                </c:pt>
              </c:numCache>
            </c:numRef>
          </c:val>
          <c:extLst>
            <c:ext xmlns:c16="http://schemas.microsoft.com/office/drawing/2014/chart" uri="{C3380CC4-5D6E-409C-BE32-E72D297353CC}">
              <c16:uniqueId val="{00000000-D7FA-4275-B636-2D7864147E92}"/>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N=94</c:v>
                </c:pt>
                <c:pt idx="2">
                  <c:v>Delinquent Findings, total N=74</c:v>
                </c:pt>
                <c:pt idx="3">
                  <c:v>Petitions, total N=227</c:v>
                </c:pt>
                <c:pt idx="4">
                  <c:v>Detentions, total N=116</c:v>
                </c:pt>
                <c:pt idx="5">
                  <c:v>Referrals, total N=246</c:v>
                </c:pt>
                <c:pt idx="6">
                  <c:v>Arrests, total N=7</c:v>
                </c:pt>
                <c:pt idx="7">
                  <c:v>Population, total N=12080</c:v>
                </c:pt>
              </c:strCache>
            </c:strRef>
          </c:cat>
          <c:val>
            <c:numRef>
              <c:f>'Stacked 100%'!$C$7:$C$14</c:f>
              <c:numCache>
                <c:formatCode>0%</c:formatCode>
                <c:ptCount val="8"/>
                <c:pt idx="0">
                  <c:v>0</c:v>
                </c:pt>
                <c:pt idx="1">
                  <c:v>5.3191489361702128E-2</c:v>
                </c:pt>
                <c:pt idx="2">
                  <c:v>6.7567567567567571E-2</c:v>
                </c:pt>
                <c:pt idx="3">
                  <c:v>3.5242290748898682E-2</c:v>
                </c:pt>
                <c:pt idx="4">
                  <c:v>4.3103448275862072E-2</c:v>
                </c:pt>
                <c:pt idx="5">
                  <c:v>3.2520325203252036E-2</c:v>
                </c:pt>
                <c:pt idx="6">
                  <c:v>0</c:v>
                </c:pt>
                <c:pt idx="7">
                  <c:v>8.758278145695364E-2</c:v>
                </c:pt>
              </c:numCache>
            </c:numRef>
          </c:val>
          <c:extLst>
            <c:ext xmlns:c16="http://schemas.microsoft.com/office/drawing/2014/chart" uri="{C3380CC4-5D6E-409C-BE32-E72D297353CC}">
              <c16:uniqueId val="{00000001-D7FA-4275-B636-2D7864147E92}"/>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N=94</c:v>
                </c:pt>
                <c:pt idx="2">
                  <c:v>Delinquent Findings, total N=74</c:v>
                </c:pt>
                <c:pt idx="3">
                  <c:v>Petitions, total N=227</c:v>
                </c:pt>
                <c:pt idx="4">
                  <c:v>Detentions, total N=116</c:v>
                </c:pt>
                <c:pt idx="5">
                  <c:v>Referrals, total N=246</c:v>
                </c:pt>
                <c:pt idx="6">
                  <c:v>Arrests, total N=7</c:v>
                </c:pt>
                <c:pt idx="7">
                  <c:v>Population, total N=12080</c:v>
                </c:pt>
              </c:strCache>
            </c:strRef>
          </c:cat>
          <c:val>
            <c:numRef>
              <c:f>'Stacked 100%'!$H$7:$H$14</c:f>
              <c:numCache>
                <c:formatCode>0%</c:formatCode>
                <c:ptCount val="8"/>
                <c:pt idx="0">
                  <c:v>0</c:v>
                </c:pt>
                <c:pt idx="1">
                  <c:v>1.1317338162064282E-3</c:v>
                </c:pt>
                <c:pt idx="2">
                  <c:v>1.095690284879474E-3</c:v>
                </c:pt>
                <c:pt idx="3">
                  <c:v>5.0457024199965065E-4</c:v>
                </c:pt>
                <c:pt idx="4">
                  <c:v>1.4120095124851367E-3</c:v>
                </c:pt>
                <c:pt idx="5">
                  <c:v>4.46162998215348E-4</c:v>
                </c:pt>
                <c:pt idx="6">
                  <c:v>0</c:v>
                </c:pt>
                <c:pt idx="7">
                  <c:v>3.0426297092232796E-6</c:v>
                </c:pt>
              </c:numCache>
            </c:numRef>
          </c:val>
          <c:extLst>
            <c:ext xmlns:c16="http://schemas.microsoft.com/office/drawing/2014/chart" uri="{C3380CC4-5D6E-409C-BE32-E72D297353CC}">
              <c16:uniqueId val="{00000002-D7FA-4275-B636-2D7864147E92}"/>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N=94</c:v>
                </c:pt>
                <c:pt idx="2">
                  <c:v>Delinquent Findings, total N=74</c:v>
                </c:pt>
                <c:pt idx="3">
                  <c:v>Petitions, total N=227</c:v>
                </c:pt>
                <c:pt idx="4">
                  <c:v>Detentions, total N=116</c:v>
                </c:pt>
                <c:pt idx="5">
                  <c:v>Referrals, total N=246</c:v>
                </c:pt>
                <c:pt idx="6">
                  <c:v>Arrests, total N=7</c:v>
                </c:pt>
                <c:pt idx="7">
                  <c:v>Population, total N=12080</c:v>
                </c:pt>
              </c:strCache>
            </c:strRef>
          </c:cat>
          <c:val>
            <c:numRef>
              <c:f>'Stacked 100%'!$I$7:$I$14</c:f>
              <c:numCache>
                <c:formatCode>0%</c:formatCode>
                <c:ptCount val="8"/>
                <c:pt idx="0">
                  <c:v>0</c:v>
                </c:pt>
                <c:pt idx="1">
                  <c:v>0.30851063829787234</c:v>
                </c:pt>
                <c:pt idx="2">
                  <c:v>0.3783783783783784</c:v>
                </c:pt>
                <c:pt idx="3">
                  <c:v>0.33480176211453744</c:v>
                </c:pt>
                <c:pt idx="4">
                  <c:v>0.25</c:v>
                </c:pt>
                <c:pt idx="5">
                  <c:v>0.33739837398373984</c:v>
                </c:pt>
                <c:pt idx="6">
                  <c:v>0.5714285714285714</c:v>
                </c:pt>
                <c:pt idx="7">
                  <c:v>0.7062913907284768</c:v>
                </c:pt>
              </c:numCache>
            </c:numRef>
          </c:val>
          <c:extLst>
            <c:ext xmlns:c16="http://schemas.microsoft.com/office/drawing/2014/chart" uri="{C3380CC4-5D6E-409C-BE32-E72D297353CC}">
              <c16:uniqueId val="{00000003-D7FA-4275-B636-2D7864147E92}"/>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N=94</c:v>
                </c:pt>
                <c:pt idx="2">
                  <c:v>Delinquent Findings, total N=74</c:v>
                </c:pt>
                <c:pt idx="3">
                  <c:v>Petitions, total N=227</c:v>
                </c:pt>
                <c:pt idx="4">
                  <c:v>Detentions, total N=116</c:v>
                </c:pt>
                <c:pt idx="5">
                  <c:v>Referrals, total N=246</c:v>
                </c:pt>
                <c:pt idx="6">
                  <c:v>Arrests, total N=7</c:v>
                </c:pt>
                <c:pt idx="7">
                  <c:v>Population, total N=12080</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D7FA-4275-B636-2D7864147E92}"/>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6" t="s">
        <v>1</v>
      </c>
      <c r="C1" s="176"/>
      <c r="D1" s="176"/>
      <c r="E1" s="176"/>
      <c r="F1" s="176"/>
      <c r="G1" s="176"/>
      <c r="H1" s="176"/>
    </row>
    <row r="2" spans="1:11" ht="15" customHeight="1" x14ac:dyDescent="0.25">
      <c r="A2" s="3" t="s">
        <v>122</v>
      </c>
      <c r="B2" s="4"/>
      <c r="C2" s="4"/>
      <c r="D2" s="4"/>
      <c r="E2" s="4"/>
      <c r="F2" s="4"/>
    </row>
    <row r="3" spans="1:11" ht="15" customHeight="1" x14ac:dyDescent="0.25">
      <c r="A3" s="142" t="s">
        <v>137</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12080</v>
      </c>
      <c r="C6" s="11">
        <v>8532</v>
      </c>
      <c r="D6" s="11">
        <v>2046</v>
      </c>
      <c r="E6" s="11">
        <v>1058</v>
      </c>
      <c r="F6" s="11">
        <v>351</v>
      </c>
      <c r="G6" s="11"/>
      <c r="H6" s="11">
        <v>93</v>
      </c>
      <c r="I6" s="11"/>
      <c r="J6" s="91">
        <f>SUM(D6:I6)</f>
        <v>3548</v>
      </c>
      <c r="K6" s="92"/>
    </row>
    <row r="7" spans="1:11" ht="15.75" customHeight="1" thickBot="1" x14ac:dyDescent="0.25">
      <c r="A7" s="10" t="s">
        <v>8</v>
      </c>
      <c r="B7" s="11">
        <f t="shared" ref="B7:B15" si="0">SUM(C7:I7)+K7</f>
        <v>7</v>
      </c>
      <c r="C7" s="11">
        <v>4</v>
      </c>
      <c r="D7" s="11">
        <v>3</v>
      </c>
      <c r="E7" s="11"/>
      <c r="F7" s="11"/>
      <c r="G7" s="11"/>
      <c r="H7" s="11"/>
      <c r="I7" s="11"/>
      <c r="J7" s="91">
        <f t="shared" ref="J7:J15" si="1">SUM(D7:I7)</f>
        <v>3</v>
      </c>
      <c r="K7" s="92"/>
    </row>
    <row r="8" spans="1:11" ht="15.75" customHeight="1" thickBot="1" x14ac:dyDescent="0.25">
      <c r="A8" s="10" t="s">
        <v>9</v>
      </c>
      <c r="B8" s="11">
        <f t="shared" si="0"/>
        <v>246</v>
      </c>
      <c r="C8" s="11">
        <v>83</v>
      </c>
      <c r="D8" s="11">
        <v>103</v>
      </c>
      <c r="E8" s="11">
        <v>8</v>
      </c>
      <c r="F8" s="11">
        <v>1</v>
      </c>
      <c r="G8" s="11"/>
      <c r="H8" s="11"/>
      <c r="I8" s="11">
        <v>26</v>
      </c>
      <c r="J8" s="91">
        <f t="shared" si="1"/>
        <v>138</v>
      </c>
      <c r="K8" s="92">
        <v>25</v>
      </c>
    </row>
    <row r="9" spans="1:11" ht="15.75" customHeight="1" thickBot="1" x14ac:dyDescent="0.25">
      <c r="A9" s="10" t="s">
        <v>10</v>
      </c>
      <c r="B9" s="11">
        <f t="shared" si="0"/>
        <v>0</v>
      </c>
      <c r="C9" s="11"/>
      <c r="D9" s="11"/>
      <c r="E9" s="11"/>
      <c r="F9" s="11"/>
      <c r="G9" s="11"/>
      <c r="H9" s="11"/>
      <c r="I9" s="11"/>
      <c r="J9" s="91">
        <f t="shared" si="1"/>
        <v>0</v>
      </c>
      <c r="K9" s="92"/>
    </row>
    <row r="10" spans="1:11" ht="15.75" customHeight="1" thickBot="1" x14ac:dyDescent="0.25">
      <c r="A10" s="10" t="s">
        <v>11</v>
      </c>
      <c r="B10" s="11">
        <f t="shared" si="0"/>
        <v>116</v>
      </c>
      <c r="C10" s="11">
        <v>29</v>
      </c>
      <c r="D10" s="11">
        <v>50</v>
      </c>
      <c r="E10" s="11">
        <v>5</v>
      </c>
      <c r="F10" s="11"/>
      <c r="G10" s="11"/>
      <c r="H10" s="11"/>
      <c r="I10" s="11">
        <v>19</v>
      </c>
      <c r="J10" s="91">
        <f t="shared" si="1"/>
        <v>74</v>
      </c>
      <c r="K10" s="92">
        <v>13</v>
      </c>
    </row>
    <row r="11" spans="1:11" ht="15.75" customHeight="1" thickBot="1" x14ac:dyDescent="0.25">
      <c r="A11" s="10" t="s">
        <v>12</v>
      </c>
      <c r="B11" s="11">
        <f t="shared" si="0"/>
        <v>227</v>
      </c>
      <c r="C11" s="11">
        <v>76</v>
      </c>
      <c r="D11" s="11">
        <v>95</v>
      </c>
      <c r="E11" s="11">
        <v>8</v>
      </c>
      <c r="F11" s="11">
        <v>1</v>
      </c>
      <c r="G11" s="11"/>
      <c r="H11" s="11"/>
      <c r="I11" s="11">
        <v>25</v>
      </c>
      <c r="J11" s="91">
        <f t="shared" si="1"/>
        <v>129</v>
      </c>
      <c r="K11" s="92">
        <v>22</v>
      </c>
    </row>
    <row r="12" spans="1:11" ht="15.75" customHeight="1" thickBot="1" x14ac:dyDescent="0.25">
      <c r="A12" s="10" t="s">
        <v>13</v>
      </c>
      <c r="B12" s="11">
        <f t="shared" si="0"/>
        <v>74</v>
      </c>
      <c r="C12" s="11">
        <v>28</v>
      </c>
      <c r="D12" s="11">
        <v>27</v>
      </c>
      <c r="E12" s="11">
        <v>5</v>
      </c>
      <c r="F12" s="11"/>
      <c r="G12" s="11"/>
      <c r="H12" s="11"/>
      <c r="I12" s="11">
        <v>6</v>
      </c>
      <c r="J12" s="91">
        <f t="shared" si="1"/>
        <v>38</v>
      </c>
      <c r="K12" s="92">
        <v>8</v>
      </c>
    </row>
    <row r="13" spans="1:11" ht="15.75" customHeight="1" thickBot="1" x14ac:dyDescent="0.25">
      <c r="A13" s="10" t="s">
        <v>133</v>
      </c>
      <c r="B13" s="11">
        <f t="shared" si="0"/>
        <v>113</v>
      </c>
      <c r="C13" s="11">
        <v>35</v>
      </c>
      <c r="D13" s="11">
        <v>40</v>
      </c>
      <c r="E13" s="11">
        <v>7</v>
      </c>
      <c r="F13" s="11"/>
      <c r="G13" s="11"/>
      <c r="H13" s="11"/>
      <c r="I13" s="11">
        <v>17</v>
      </c>
      <c r="J13" s="91">
        <f t="shared" si="1"/>
        <v>64</v>
      </c>
      <c r="K13" s="92">
        <v>14</v>
      </c>
    </row>
    <row r="14" spans="1:11" ht="26.25" customHeight="1" thickBot="1" x14ac:dyDescent="0.25">
      <c r="A14" s="10" t="s">
        <v>123</v>
      </c>
      <c r="B14" s="11">
        <f t="shared" si="0"/>
        <v>94</v>
      </c>
      <c r="C14" s="11">
        <v>29</v>
      </c>
      <c r="D14" s="11">
        <v>41</v>
      </c>
      <c r="E14" s="11">
        <v>5</v>
      </c>
      <c r="F14" s="11"/>
      <c r="G14" s="11"/>
      <c r="H14" s="11"/>
      <c r="I14" s="11">
        <v>10</v>
      </c>
      <c r="J14" s="91">
        <f t="shared" si="1"/>
        <v>56</v>
      </c>
      <c r="K14" s="92">
        <v>9</v>
      </c>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x14ac:dyDescent="0.2">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No</v>
      </c>
      <c r="I16" s="13" t="str">
        <f t="shared" si="2"/>
        <v>No</v>
      </c>
      <c r="J16" s="13" t="str">
        <f t="shared" si="2"/>
        <v>Yes</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7" t="s">
        <v>138</v>
      </c>
      <c r="B19" s="177"/>
      <c r="C19" s="8"/>
      <c r="D19" s="177" t="s">
        <v>139</v>
      </c>
      <c r="E19" s="177"/>
      <c r="F19" s="177"/>
      <c r="G19" s="177"/>
      <c r="H19" s="177"/>
      <c r="I19" s="177"/>
    </row>
    <row r="20" spans="1:9" ht="15" customHeight="1" x14ac:dyDescent="0.25">
      <c r="A20" s="177" t="s">
        <v>108</v>
      </c>
      <c r="B20" s="177"/>
      <c r="C20" s="8"/>
      <c r="D20" s="177" t="s">
        <v>109</v>
      </c>
      <c r="E20" s="177"/>
      <c r="F20" s="177"/>
      <c r="G20" s="177"/>
      <c r="H20" s="177"/>
      <c r="I20" s="177"/>
    </row>
    <row r="21" spans="1:9" ht="15" customHeight="1" x14ac:dyDescent="0.25">
      <c r="A21" s="177" t="s">
        <v>110</v>
      </c>
      <c r="B21" s="177"/>
      <c r="C21" s="8"/>
      <c r="D21" s="177" t="s">
        <v>111</v>
      </c>
      <c r="E21" s="177"/>
      <c r="F21" s="177"/>
      <c r="G21" s="177"/>
      <c r="H21" s="177"/>
      <c r="I21" s="177"/>
    </row>
    <row r="22" spans="1:9" ht="15" customHeight="1" x14ac:dyDescent="0.25">
      <c r="A22" s="177" t="s">
        <v>112</v>
      </c>
      <c r="B22" s="177"/>
      <c r="C22" s="8"/>
      <c r="D22" s="177" t="s">
        <v>113</v>
      </c>
      <c r="E22" s="177"/>
      <c r="F22" s="177"/>
      <c r="G22" s="177"/>
      <c r="H22" s="177"/>
      <c r="I22" s="177"/>
    </row>
    <row r="23" spans="1:9" ht="15" customHeight="1" x14ac:dyDescent="0.25">
      <c r="A23" s="177" t="s">
        <v>114</v>
      </c>
      <c r="B23" s="177"/>
      <c r="C23" s="8"/>
      <c r="D23" s="177" t="s">
        <v>115</v>
      </c>
      <c r="E23" s="177"/>
      <c r="F23" s="177"/>
      <c r="G23" s="177"/>
      <c r="H23" s="177"/>
      <c r="I23" s="177"/>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Calhoun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8532</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4</v>
      </c>
      <c r="D7" s="34">
        <f>IF((AND(C66&gt;0,C7&gt;0)),(C7/C66),0)</f>
        <v>0.46882325363338023</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4</v>
      </c>
      <c r="Q7" s="42">
        <f>C6-C7</f>
        <v>8528</v>
      </c>
      <c r="R7" s="42">
        <f t="shared" ref="R7:R15" si="5">SUM(N7:Q7)</f>
        <v>8532</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83</v>
      </c>
      <c r="D8" s="34">
        <f>IF((AND(C67&gt;0,C8&gt;0)),(C8/C67),0)</f>
        <v>2075</v>
      </c>
      <c r="E8" s="33">
        <f>'Data Entry'!I8</f>
        <v>26</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26</v>
      </c>
      <c r="O8" s="42">
        <f>((D67*L67)-E8)+0.05</f>
        <v>-25.95</v>
      </c>
      <c r="P8" s="42">
        <f t="shared" si="4"/>
        <v>83</v>
      </c>
      <c r="Q8" s="42">
        <f>(C$67*L67)-C8</f>
        <v>-79</v>
      </c>
      <c r="R8" s="42">
        <f t="shared" si="5"/>
        <v>4.0499999999999972</v>
      </c>
      <c r="S8" s="30">
        <f t="shared" si="6"/>
        <v>40378.591124999897</v>
      </c>
      <c r="T8" s="30">
        <f t="shared" si="7"/>
        <v>-2287.9100000000326</v>
      </c>
      <c r="U8" s="31">
        <f t="shared" si="8"/>
        <v>-17.648679854102355</v>
      </c>
    </row>
    <row r="9" spans="2:21" ht="18" customHeight="1" x14ac:dyDescent="0.25">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26</v>
      </c>
      <c r="P9" s="42">
        <f t="shared" si="4"/>
        <v>0</v>
      </c>
      <c r="Q9" s="42">
        <f>(C$68*L68)-C9</f>
        <v>83</v>
      </c>
      <c r="R9" s="42">
        <f t="shared" si="5"/>
        <v>109</v>
      </c>
      <c r="S9" s="30">
        <f t="shared" si="6"/>
        <v>0</v>
      </c>
      <c r="T9" s="30">
        <f t="shared" si="7"/>
        <v>0</v>
      </c>
      <c r="U9" s="31" t="str">
        <f t="shared" si="8"/>
        <v>- -</v>
      </c>
    </row>
    <row r="10" spans="2:21" ht="18" customHeight="1" x14ac:dyDescent="0.25">
      <c r="B10" s="32" t="str">
        <f>'Data Entry'!A10</f>
        <v>5. Cases Involving Secure Detention</v>
      </c>
      <c r="C10" s="33">
        <f>'Data Entry'!C10</f>
        <v>29</v>
      </c>
      <c r="D10" s="34">
        <f>IF(((AND(C68&gt;0,C10&gt;0))),(C10/(C68)),0)</f>
        <v>34.939759036144579</v>
      </c>
      <c r="E10" s="33">
        <f>'Data Entry'!I10</f>
        <v>19</v>
      </c>
      <c r="F10" s="34">
        <f>IF(((AND($E$10&gt;0,$D$68&gt;0))),($E$10/($D$68)),0)</f>
        <v>73.07692307692308</v>
      </c>
      <c r="G10" s="39" t="str">
        <f t="shared" si="0"/>
        <v>*</v>
      </c>
      <c r="H10" s="40"/>
      <c r="I10" s="41"/>
      <c r="J10" s="40">
        <f>IF((ABS($U10)&gt;Defaults!D$7),1,2)</f>
        <v>1</v>
      </c>
      <c r="K10" s="39">
        <f>IF((AND(N10&gt;Defaults!B$12,(N10+O10)&gt;Defaults!B$13, P10 &gt; Defaults!B$12, (P10+Q10) &gt; Defaults!B$13)),1,20)</f>
        <v>20</v>
      </c>
      <c r="L10" s="1">
        <f t="shared" si="1"/>
        <v>119</v>
      </c>
      <c r="M10" s="1" t="b">
        <f t="shared" si="2"/>
        <v>1</v>
      </c>
      <c r="N10" s="42">
        <f t="shared" si="3"/>
        <v>19</v>
      </c>
      <c r="O10" s="42">
        <f>(D$68*L68)-E10</f>
        <v>7</v>
      </c>
      <c r="P10" s="42">
        <f t="shared" si="4"/>
        <v>29</v>
      </c>
      <c r="Q10" s="42">
        <f>(C$68*L68)-C10</f>
        <v>54</v>
      </c>
      <c r="R10" s="42">
        <f t="shared" si="5"/>
        <v>109</v>
      </c>
      <c r="S10" s="30">
        <f t="shared" si="6"/>
        <v>73828861</v>
      </c>
      <c r="T10" s="30">
        <f t="shared" si="7"/>
        <v>6318624</v>
      </c>
      <c r="U10" s="31">
        <f t="shared" si="8"/>
        <v>11.684325732944387</v>
      </c>
    </row>
    <row r="11" spans="2:21" ht="18" customHeight="1" x14ac:dyDescent="0.25">
      <c r="B11" s="32" t="str">
        <f>'Data Entry'!A11</f>
        <v>6. Cases Petitioned (Charge Filed)</v>
      </c>
      <c r="C11" s="33">
        <f>'Data Entry'!C11</f>
        <v>76</v>
      </c>
      <c r="D11" s="34">
        <f>IF(((AND(C68&gt;0,C11&gt;0))),(C11/(C68)),0)</f>
        <v>91.566265060240966</v>
      </c>
      <c r="E11" s="33">
        <f>'Data Entry'!I11</f>
        <v>25</v>
      </c>
      <c r="F11" s="34">
        <f>IF(((AND($E$11&gt;0,$D$68&gt;0))),($E$11/($D$68)),0)</f>
        <v>96.153846153846146</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25</v>
      </c>
      <c r="O11" s="42">
        <f>(D$68*L68)-E11</f>
        <v>1</v>
      </c>
      <c r="P11" s="42">
        <f t="shared" si="4"/>
        <v>76</v>
      </c>
      <c r="Q11" s="42">
        <f>(C$68*L68)-C11</f>
        <v>7</v>
      </c>
      <c r="R11" s="42">
        <f t="shared" si="5"/>
        <v>109</v>
      </c>
      <c r="S11" s="30">
        <f t="shared" si="6"/>
        <v>1068309</v>
      </c>
      <c r="T11" s="30">
        <f t="shared" si="7"/>
        <v>1743664</v>
      </c>
      <c r="U11" s="31">
        <f t="shared" si="8"/>
        <v>0.61268053936997036</v>
      </c>
    </row>
    <row r="12" spans="2:21" ht="18" customHeight="1" x14ac:dyDescent="0.25">
      <c r="B12" s="32" t="str">
        <f>'Data Entry'!A12</f>
        <v>7. Cases Resulting in Delinquent Findings</v>
      </c>
      <c r="C12" s="33">
        <f>'Data Entry'!C12</f>
        <v>28</v>
      </c>
      <c r="D12" s="34">
        <f>IF(((AND(C69&gt;0,C12&gt;0))),(C12/(C69)),0)</f>
        <v>36.842105263157897</v>
      </c>
      <c r="E12" s="33">
        <f>'Data Entry'!I12</f>
        <v>6</v>
      </c>
      <c r="F12" s="34">
        <f>IF(((AND($D$69&gt;0,$E$12&gt;0))),(E12/(D69)),0)</f>
        <v>24</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6</v>
      </c>
      <c r="O12" s="42">
        <f>(D69*L69)-E12</f>
        <v>19</v>
      </c>
      <c r="P12" s="42">
        <f t="shared" si="4"/>
        <v>28</v>
      </c>
      <c r="Q12" s="42">
        <f>(C69*L69)-C12</f>
        <v>48</v>
      </c>
      <c r="R12" s="42">
        <f t="shared" si="5"/>
        <v>101</v>
      </c>
      <c r="S12" s="30">
        <f t="shared" si="6"/>
        <v>6013136</v>
      </c>
      <c r="T12" s="30">
        <f t="shared" si="7"/>
        <v>4328200</v>
      </c>
      <c r="U12" s="31">
        <f t="shared" si="8"/>
        <v>1.38929254655515</v>
      </c>
    </row>
    <row r="13" spans="2:21" ht="18" customHeight="1" x14ac:dyDescent="0.25">
      <c r="B13" s="32" t="str">
        <f>'Data Entry'!A13</f>
        <v>8. Cases Resulting in Probation Placement</v>
      </c>
      <c r="C13" s="33">
        <f>'Data Entry'!C13</f>
        <v>35</v>
      </c>
      <c r="D13" s="34">
        <f>IF(((AND(C70&gt;0,C13&gt;0))),(C13/(C70)),0)</f>
        <v>124.99999999999999</v>
      </c>
      <c r="E13" s="33">
        <f>'Data Entry'!I13</f>
        <v>17</v>
      </c>
      <c r="F13" s="34">
        <f>IF(((AND($D$70&gt;0,$E$13&gt;0))),($E$13/($D$70)),0)</f>
        <v>283.33333333333337</v>
      </c>
      <c r="G13" s="39" t="str">
        <f t="shared" si="0"/>
        <v>*</v>
      </c>
      <c r="H13" s="40"/>
      <c r="I13" s="41"/>
      <c r="J13" s="40">
        <f>IF((ABS($U13)&gt;Defaults!D$7),1,2)</f>
        <v>1</v>
      </c>
      <c r="K13" s="39">
        <f>IF((AND(N13&gt;Defaults!B$12,(N13+O13)&gt;Defaults!B$13, P13 &gt; Defaults!B$12, (P13+Q13) &gt; Defaults!B$13)),1,20)</f>
        <v>20</v>
      </c>
      <c r="L13" s="1">
        <f t="shared" si="1"/>
        <v>119</v>
      </c>
      <c r="M13" s="1" t="b">
        <f t="shared" si="2"/>
        <v>1</v>
      </c>
      <c r="N13" s="42">
        <f t="shared" si="3"/>
        <v>17</v>
      </c>
      <c r="O13" s="42">
        <f>(D70*L70)-E13</f>
        <v>-11</v>
      </c>
      <c r="P13" s="42">
        <f t="shared" si="4"/>
        <v>35</v>
      </c>
      <c r="Q13" s="42">
        <f>(C70*L70)-C13</f>
        <v>-6.9999999999999964</v>
      </c>
      <c r="R13" s="42">
        <f t="shared" si="5"/>
        <v>34</v>
      </c>
      <c r="S13" s="30">
        <f t="shared" si="6"/>
        <v>2405704.0000000009</v>
      </c>
      <c r="T13" s="30">
        <f t="shared" si="7"/>
        <v>-157248</v>
      </c>
      <c r="U13" s="31">
        <f t="shared" si="8"/>
        <v>-15.29878917378918</v>
      </c>
    </row>
    <row r="14" spans="2:21" ht="30.75" customHeight="1" x14ac:dyDescent="0.25">
      <c r="B14" s="32" t="str">
        <f>'Data Entry'!A14</f>
        <v xml:space="preserve">9. Cases Resulting in Confinement in Secure Juvenile Correctional Facilities </v>
      </c>
      <c r="C14" s="33">
        <f>'Data Entry'!C14</f>
        <v>29</v>
      </c>
      <c r="D14" s="34">
        <f>IF(((AND(C70&gt;0,C14&gt;0))), ((C14/(C70))),0)</f>
        <v>103.57142857142856</v>
      </c>
      <c r="E14" s="33">
        <f>'Data Entry'!I14</f>
        <v>10</v>
      </c>
      <c r="F14" s="34">
        <f>IF(((AND($D$70&gt;0,$E$14&gt;0))), (($E$14/($D$70))),0)</f>
        <v>166.66666666666669</v>
      </c>
      <c r="G14" s="39" t="str">
        <f t="shared" si="0"/>
        <v>*</v>
      </c>
      <c r="H14" s="40"/>
      <c r="I14" s="41"/>
      <c r="J14" s="40">
        <f>IF((ABS($U14)&gt;Defaults!D$7),1,2)</f>
        <v>1</v>
      </c>
      <c r="K14" s="39">
        <f>IF((AND(N14&gt;Defaults!B$12,(N14+O14)&gt;Defaults!B$13, P14 &gt; Defaults!B$12, (P14+Q14) &gt; Defaults!B$13)),1,20)</f>
        <v>20</v>
      </c>
      <c r="L14" s="1">
        <f t="shared" si="1"/>
        <v>119</v>
      </c>
      <c r="M14" s="1" t="b">
        <f t="shared" si="2"/>
        <v>1</v>
      </c>
      <c r="N14" s="42">
        <f t="shared" si="3"/>
        <v>10</v>
      </c>
      <c r="O14" s="42">
        <f>(D70*L70)-E14</f>
        <v>-4</v>
      </c>
      <c r="P14" s="42">
        <f t="shared" si="4"/>
        <v>29</v>
      </c>
      <c r="Q14" s="42">
        <f>(C70*L70)-C14</f>
        <v>-0.99999999999999645</v>
      </c>
      <c r="R14" s="42">
        <f t="shared" si="5"/>
        <v>34</v>
      </c>
      <c r="S14" s="30">
        <f t="shared" si="6"/>
        <v>382024.00000000017</v>
      </c>
      <c r="T14" s="30">
        <f t="shared" si="7"/>
        <v>-32759.999999999982</v>
      </c>
      <c r="U14" s="31">
        <f t="shared" si="8"/>
        <v>-11.661294261294273</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25</v>
      </c>
      <c r="P15" s="42">
        <f t="shared" si="4"/>
        <v>0</v>
      </c>
      <c r="Q15" s="42">
        <f>(C69*L69)-C15</f>
        <v>76</v>
      </c>
      <c r="R15" s="42">
        <f t="shared" si="5"/>
        <v>101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8.532</v>
      </c>
      <c r="D42" s="56">
        <f>E6/1000</f>
        <v>0</v>
      </c>
      <c r="E42" s="56">
        <f>MAX(C42:D42)</f>
        <v>8.532</v>
      </c>
      <c r="G42" s="1" t="str">
        <f>B42</f>
        <v>per 1000 youth</v>
      </c>
      <c r="L42" s="57">
        <v>1000</v>
      </c>
      <c r="M42" s="57"/>
      <c r="R42" s="49"/>
    </row>
    <row r="43" spans="2:18" ht="15" hidden="1" customHeight="1" x14ac:dyDescent="0.25">
      <c r="B43" s="49" t="s">
        <v>87</v>
      </c>
      <c r="C43" s="56">
        <f>C7/100</f>
        <v>0.04</v>
      </c>
      <c r="D43" s="56">
        <f>E7/100</f>
        <v>0</v>
      </c>
      <c r="E43" s="56">
        <f>MAX(C43:D43,0)</f>
        <v>0.04</v>
      </c>
      <c r="G43" s="1" t="str">
        <f>B43</f>
        <v>per 100 arrests</v>
      </c>
      <c r="L43" s="57">
        <v>100</v>
      </c>
      <c r="M43" s="57"/>
      <c r="R43" s="49"/>
    </row>
    <row r="44" spans="2:18" ht="15" hidden="1" customHeight="1" x14ac:dyDescent="0.25">
      <c r="B44" s="49" t="s">
        <v>88</v>
      </c>
      <c r="C44" s="56">
        <f>C8/100</f>
        <v>0.83</v>
      </c>
      <c r="D44" s="56">
        <f>E8/100</f>
        <v>0.26</v>
      </c>
      <c r="E44" s="56">
        <f>MAX(C44:D44,0)</f>
        <v>0.83</v>
      </c>
      <c r="G44" s="1" t="str">
        <f>B44</f>
        <v>per 100 referrals</v>
      </c>
      <c r="L44" s="57">
        <v>100</v>
      </c>
      <c r="M44" s="57"/>
      <c r="R44" s="49"/>
    </row>
    <row r="45" spans="2:18" ht="15" hidden="1" customHeight="1" x14ac:dyDescent="0.25">
      <c r="B45" s="49" t="s">
        <v>89</v>
      </c>
      <c r="C45" s="49">
        <f>C11/100</f>
        <v>0.76</v>
      </c>
      <c r="D45" s="49">
        <f>E11/100</f>
        <v>0.25</v>
      </c>
      <c r="E45" s="56">
        <f>MAX(C45:D45,0)</f>
        <v>0.76</v>
      </c>
      <c r="G45" s="1" t="str">
        <f>B45</f>
        <v>per 100 youth petitioned</v>
      </c>
      <c r="L45" s="57">
        <v>100</v>
      </c>
      <c r="M45" s="57"/>
      <c r="R45" s="49"/>
    </row>
    <row r="46" spans="2:18" ht="15" hidden="1" customHeight="1" x14ac:dyDescent="0.25">
      <c r="B46" s="49" t="s">
        <v>90</v>
      </c>
      <c r="C46" s="49">
        <f>C12/100</f>
        <v>0.28000000000000003</v>
      </c>
      <c r="D46" s="49">
        <f>E12/100</f>
        <v>0.06</v>
      </c>
      <c r="E46" s="56">
        <f>MAX(C46:D46)</f>
        <v>0.28000000000000003</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8.532</v>
      </c>
      <c r="D48" s="56">
        <f>D42</f>
        <v>0</v>
      </c>
      <c r="E48" s="56">
        <f>MAX(C48:D48)</f>
        <v>8.532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0.04</v>
      </c>
      <c r="D49" s="49">
        <f t="shared" si="9"/>
        <v>0</v>
      </c>
      <c r="E49" s="49">
        <f>MAX(C49:D49)</f>
        <v>0.04</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0.83</v>
      </c>
      <c r="D50" s="49">
        <f t="shared" si="9"/>
        <v>0.26</v>
      </c>
      <c r="E50" s="49">
        <f>MAX(C50:D50)</f>
        <v>0.83</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0.76</v>
      </c>
      <c r="D51" s="49">
        <f>IF(($E45&gt;0),D45,D44)</f>
        <v>0.25</v>
      </c>
      <c r="E51" s="49">
        <f>MAX(C51:D51)</f>
        <v>0.76</v>
      </c>
      <c r="G51" s="1" t="str">
        <f>G45</f>
        <v>per 100 youth petitioned</v>
      </c>
      <c r="L51" s="58">
        <f>IF(($E45&gt;0),L45,L44)</f>
        <v>100</v>
      </c>
      <c r="M51" s="58"/>
    </row>
    <row r="52" spans="2:18" ht="15" hidden="1" customHeight="1" x14ac:dyDescent="0.25">
      <c r="B52" s="49" t="str">
        <f>IF(($E46&gt;0),B46,B45)</f>
        <v>per 100 youth found delinquent</v>
      </c>
      <c r="C52" s="49">
        <f>IF(($E46&gt;0),C46,C45)</f>
        <v>0.28000000000000003</v>
      </c>
      <c r="D52" s="49">
        <f>IF(($E46&gt;0),D46,D45)</f>
        <v>0.06</v>
      </c>
      <c r="E52" s="56">
        <f>MAX(C52:D52)</f>
        <v>0.28000000000000003</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8.532</v>
      </c>
      <c r="D54" s="56">
        <f>D48</f>
        <v>0</v>
      </c>
      <c r="E54" s="56">
        <f>MAX(C54:D54)</f>
        <v>8.532</v>
      </c>
      <c r="G54" s="1" t="str">
        <f>G48</f>
        <v>per 1000 youth</v>
      </c>
      <c r="L54" s="58">
        <f>L48</f>
        <v>1000</v>
      </c>
      <c r="M54" s="58"/>
    </row>
    <row r="55" spans="2:18" ht="15" hidden="1" customHeight="1" x14ac:dyDescent="0.25">
      <c r="B55" s="49" t="str">
        <f t="shared" ref="B55:D56" si="10">IF(($E49&gt;0),B49,B48)</f>
        <v>per 100 arrests</v>
      </c>
      <c r="C55" s="49">
        <f t="shared" si="10"/>
        <v>0.04</v>
      </c>
      <c r="D55" s="49">
        <f t="shared" si="10"/>
        <v>0</v>
      </c>
      <c r="E55" s="49">
        <f>MAX(C55:D55)</f>
        <v>0.04</v>
      </c>
      <c r="G55" s="1" t="str">
        <f>G49</f>
        <v>per 100 arrests</v>
      </c>
      <c r="L55" s="58">
        <f>IF(($E49&gt;0),L49,L48)</f>
        <v>100</v>
      </c>
      <c r="M55" s="58"/>
    </row>
    <row r="56" spans="2:18" ht="15" hidden="1" customHeight="1" x14ac:dyDescent="0.25">
      <c r="B56" s="49" t="str">
        <f t="shared" si="10"/>
        <v>per 100 referrals</v>
      </c>
      <c r="C56" s="49">
        <f t="shared" si="10"/>
        <v>0.83</v>
      </c>
      <c r="D56" s="49">
        <f t="shared" si="10"/>
        <v>0.26</v>
      </c>
      <c r="E56" s="49">
        <f>MAX(C56:D56)</f>
        <v>0.83</v>
      </c>
      <c r="G56" s="1" t="str">
        <f>G50</f>
        <v>per 100 referrals</v>
      </c>
      <c r="L56" s="58">
        <f>IF(($E50&gt;0),L50,L49)</f>
        <v>100</v>
      </c>
      <c r="M56" s="58"/>
    </row>
    <row r="57" spans="2:18" ht="15" hidden="1" customHeight="1" x14ac:dyDescent="0.25">
      <c r="B57" s="49" t="str">
        <f>IF(($E51&gt;0),B51,B49)</f>
        <v>per 100 youth petitioned</v>
      </c>
      <c r="C57" s="49">
        <f>IF(($E51&gt;0),C51,C50)</f>
        <v>0.76</v>
      </c>
      <c r="D57" s="49">
        <f>IF(($E51&gt;0),D51,D50)</f>
        <v>0.25</v>
      </c>
      <c r="E57" s="49">
        <f>MAX(C57:D57)</f>
        <v>0.76</v>
      </c>
      <c r="G57" s="1" t="str">
        <f>G51</f>
        <v>per 100 youth petitioned</v>
      </c>
      <c r="L57" s="58">
        <f>IF(($E51&gt;0),L51,L50)</f>
        <v>100</v>
      </c>
      <c r="M57" s="58"/>
    </row>
    <row r="58" spans="2:18" ht="15" hidden="1" customHeight="1" x14ac:dyDescent="0.25">
      <c r="B58" s="49" t="str">
        <f>IF(($E52&gt;0),B52,B51)</f>
        <v>per 100 youth found delinquent</v>
      </c>
      <c r="C58" s="49">
        <f>IF(($E52&gt;0),C52,C51)</f>
        <v>0.28000000000000003</v>
      </c>
      <c r="D58" s="49">
        <f>IF(($E52&gt;0),D52,D51)</f>
        <v>0.06</v>
      </c>
      <c r="E58" s="56">
        <f>MAX(C58:D58)</f>
        <v>0.28000000000000003</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8.532</v>
      </c>
      <c r="D60" s="56">
        <f>D54</f>
        <v>0</v>
      </c>
      <c r="E60" s="56">
        <f>MAX(C60:D60)</f>
        <v>8.532</v>
      </c>
      <c r="G60" s="1" t="str">
        <f>G54</f>
        <v>per 1000 youth</v>
      </c>
      <c r="L60" s="58">
        <f>L54</f>
        <v>1000</v>
      </c>
      <c r="M60" s="58"/>
    </row>
    <row r="61" spans="2:18" ht="15" hidden="1" customHeight="1" x14ac:dyDescent="0.25">
      <c r="B61" s="49" t="str">
        <f t="shared" ref="B61:D62" si="11">IF(($E55&gt;0),B55,B54)</f>
        <v>per 100 arrests</v>
      </c>
      <c r="C61" s="49">
        <f t="shared" si="11"/>
        <v>0.04</v>
      </c>
      <c r="D61" s="49">
        <f t="shared" si="11"/>
        <v>0</v>
      </c>
      <c r="E61" s="49">
        <f>MAX(C61:D61)</f>
        <v>0.04</v>
      </c>
      <c r="G61" s="1" t="str">
        <f>G55</f>
        <v>per 100 arrests</v>
      </c>
      <c r="L61" s="58">
        <f>IF(($E55&gt;0),L55,L54)</f>
        <v>100</v>
      </c>
      <c r="M61" s="58"/>
    </row>
    <row r="62" spans="2:18" ht="15" hidden="1" customHeight="1" x14ac:dyDescent="0.25">
      <c r="B62" s="49" t="str">
        <f t="shared" si="11"/>
        <v>per 100 referrals</v>
      </c>
      <c r="C62" s="49">
        <f t="shared" si="11"/>
        <v>0.83</v>
      </c>
      <c r="D62" s="49">
        <f t="shared" si="11"/>
        <v>0.26</v>
      </c>
      <c r="E62" s="49">
        <f>MAX(C62:D62)</f>
        <v>0.83</v>
      </c>
      <c r="G62" s="1" t="str">
        <f>G56</f>
        <v>per 100 referrals</v>
      </c>
      <c r="L62" s="58">
        <f>IF(($E56&gt;0),L56,L55)</f>
        <v>100</v>
      </c>
      <c r="M62" s="58"/>
    </row>
    <row r="63" spans="2:18" ht="15" hidden="1" customHeight="1" x14ac:dyDescent="0.25">
      <c r="B63" s="49" t="str">
        <f>IF(($E57&gt;0),B57,B55)</f>
        <v>per 100 youth petitioned</v>
      </c>
      <c r="C63" s="49">
        <f>IF(($E57&gt;0),C57,C56)</f>
        <v>0.76</v>
      </c>
      <c r="D63" s="49">
        <f>IF(($E57&gt;0),D57,D56)</f>
        <v>0.25</v>
      </c>
      <c r="E63" s="49">
        <f>MAX(C63:D63)</f>
        <v>0.76</v>
      </c>
      <c r="G63" s="1" t="str">
        <f>G57</f>
        <v>per 100 youth petitioned</v>
      </c>
      <c r="L63" s="58">
        <f>IF(($E57&gt;0),L57,L56)</f>
        <v>100</v>
      </c>
      <c r="M63" s="58"/>
    </row>
    <row r="64" spans="2:18" ht="15" hidden="1" customHeight="1" x14ac:dyDescent="0.25">
      <c r="B64" s="49" t="str">
        <f>IF(($E58&gt;0),B58,B57)</f>
        <v>per 100 youth found delinquent</v>
      </c>
      <c r="C64" s="49">
        <f>IF(($E58&gt;0),C58,C57)</f>
        <v>0.28000000000000003</v>
      </c>
      <c r="D64" s="49">
        <f>IF(($E58&gt;0),D58,D57)</f>
        <v>0.06</v>
      </c>
      <c r="E64" s="56">
        <f>MAX(C64:D64)</f>
        <v>0.28000000000000003</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8.532</v>
      </c>
      <c r="D66" s="56">
        <f>D60</f>
        <v>0</v>
      </c>
      <c r="E66" s="56">
        <f>MAX(C66:D66)</f>
        <v>8.532</v>
      </c>
      <c r="G66" s="1" t="str">
        <f>G60</f>
        <v>per 1000 youth</v>
      </c>
      <c r="L66" s="58">
        <f>L60</f>
        <v>1000</v>
      </c>
      <c r="M66" s="58">
        <f>IF((B66=G66),1,2)</f>
        <v>1</v>
      </c>
    </row>
    <row r="67" spans="2:13" ht="15" hidden="1" customHeight="1" x14ac:dyDescent="0.25">
      <c r="B67" s="49" t="str">
        <f t="shared" ref="B67:D68" si="12">IF(($E61&gt;0),B61,B60)</f>
        <v>per 100 arrests</v>
      </c>
      <c r="C67" s="49">
        <f t="shared" si="12"/>
        <v>0.04</v>
      </c>
      <c r="D67" s="49">
        <f t="shared" si="12"/>
        <v>0</v>
      </c>
      <c r="E67" s="49">
        <f>MAX(C67:D67)</f>
        <v>0.04</v>
      </c>
      <c r="G67" s="1" t="str">
        <f>G61</f>
        <v>per 100 arrests</v>
      </c>
      <c r="L67" s="58">
        <f>IF(($E61&gt;0),L61,L60)</f>
        <v>100</v>
      </c>
      <c r="M67" s="58">
        <f>IF((B67=G67),1,2)</f>
        <v>1</v>
      </c>
    </row>
    <row r="68" spans="2:13" ht="15" hidden="1" customHeight="1" x14ac:dyDescent="0.25">
      <c r="B68" s="49" t="str">
        <f t="shared" si="12"/>
        <v>per 100 referrals</v>
      </c>
      <c r="C68" s="49">
        <f t="shared" si="12"/>
        <v>0.83</v>
      </c>
      <c r="D68" s="49">
        <f t="shared" si="12"/>
        <v>0.26</v>
      </c>
      <c r="E68" s="49">
        <f>MAX(C68:D68)</f>
        <v>0.83</v>
      </c>
      <c r="G68" s="1" t="str">
        <f>G62</f>
        <v>per 100 referrals</v>
      </c>
      <c r="L68" s="58">
        <f>IF(($E62&gt;0),L62,L61)</f>
        <v>100</v>
      </c>
      <c r="M68" s="58">
        <f>IF((B68=G68),1,2)</f>
        <v>1</v>
      </c>
    </row>
    <row r="69" spans="2:13" ht="15" hidden="1" customHeight="1" x14ac:dyDescent="0.25">
      <c r="B69" s="49" t="str">
        <f>IF(($E63&gt;0),B63,B61)</f>
        <v>per 100 youth petitioned</v>
      </c>
      <c r="C69" s="49">
        <f>IF(($E63&gt;0),C63,C62)</f>
        <v>0.76</v>
      </c>
      <c r="D69" s="49">
        <f>IF(($E63&gt;0),D63,D62)</f>
        <v>0.25</v>
      </c>
      <c r="E69" s="49">
        <f>MAX(C69:D69)</f>
        <v>0.76</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0.28000000000000003</v>
      </c>
      <c r="D70" s="49">
        <f>IF(($E64&gt;0),D64,D63)</f>
        <v>0.06</v>
      </c>
      <c r="E70" s="56">
        <f>MAX(C70:D70)</f>
        <v>0.28000000000000003</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Calhoun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8532</v>
      </c>
      <c r="D6" s="34"/>
      <c r="E6" s="33">
        <f>'Data Entry'!J6</f>
        <v>3548</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4</v>
      </c>
      <c r="D7" s="34">
        <f>IF((AND(C66&gt;0,C7&gt;0)),(C7/C66),0)</f>
        <v>0.46882325363338023</v>
      </c>
      <c r="E7" s="33">
        <f>'Data Entry'!J7</f>
        <v>3</v>
      </c>
      <c r="F7" s="34">
        <f>IF((AND($E$7&gt;0,$D$66&gt;0)),($E$7/$D$66),0)</f>
        <v>0.84554678692220964</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3</v>
      </c>
      <c r="O7" s="42">
        <f>E6-E7</f>
        <v>3545</v>
      </c>
      <c r="P7" s="42">
        <f t="shared" ref="P7:P15" si="4">C7</f>
        <v>4</v>
      </c>
      <c r="Q7" s="42">
        <f>C6-C7</f>
        <v>8528</v>
      </c>
      <c r="R7" s="42">
        <f t="shared" ref="R7:R15" si="5">SUM(N7:Q7)</f>
        <v>12080</v>
      </c>
      <c r="S7" s="30">
        <f t="shared" ref="S7:S15" si="6">R7*((((N7*Q7)-(O7*P7))^2))</f>
        <v>1571018689280</v>
      </c>
      <c r="T7" s="30">
        <f t="shared" ref="T7:T15" si="7">(N7+O7)*(P7+Q7)*(N7+P7)*(O7+Q7)</f>
        <v>2558277778896</v>
      </c>
      <c r="U7" s="31">
        <f t="shared" ref="U7:U15" si="8">IF((S7&gt;0),S7/T7,"- -")</f>
        <v>0.61409230156310779</v>
      </c>
    </row>
    <row r="8" spans="2:21" ht="18" customHeight="1" x14ac:dyDescent="0.25">
      <c r="B8" s="32" t="str">
        <f>'Data Entry'!A8</f>
        <v>3. Refer to Juvenile Court</v>
      </c>
      <c r="C8" s="33">
        <f>'Data Entry'!C8</f>
        <v>83</v>
      </c>
      <c r="D8" s="34">
        <f>IF((AND(C67&gt;0,C8&gt;0)),(C8/C67),0)</f>
        <v>2075</v>
      </c>
      <c r="E8" s="33">
        <f>'Data Entry'!J8</f>
        <v>138</v>
      </c>
      <c r="F8" s="34">
        <f>IF((AND($E$8&gt;0,$D$67&gt;0)),($E8/$D67),0)</f>
        <v>4600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138</v>
      </c>
      <c r="O8" s="42">
        <f>((D67*L67)-E8)+0.05</f>
        <v>-134.94999999999999</v>
      </c>
      <c r="P8" s="42">
        <f t="shared" si="4"/>
        <v>83</v>
      </c>
      <c r="Q8" s="42">
        <f>(C$67*L67)-C8</f>
        <v>-79</v>
      </c>
      <c r="R8" s="42">
        <f t="shared" si="5"/>
        <v>7.0500000000000114</v>
      </c>
      <c r="S8" s="30">
        <f t="shared" si="6"/>
        <v>629644.82362499496</v>
      </c>
      <c r="T8" s="30">
        <f t="shared" si="7"/>
        <v>-576851.99000000209</v>
      </c>
      <c r="U8" s="31">
        <f t="shared" si="8"/>
        <v>-1.0915188549925825</v>
      </c>
    </row>
    <row r="9" spans="2:21" ht="18" customHeight="1" x14ac:dyDescent="0.25">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138</v>
      </c>
      <c r="P9" s="42">
        <f t="shared" si="4"/>
        <v>0</v>
      </c>
      <c r="Q9" s="42">
        <f>(C$68*L68)-C9</f>
        <v>83</v>
      </c>
      <c r="R9" s="42">
        <f t="shared" si="5"/>
        <v>221</v>
      </c>
      <c r="S9" s="30">
        <f t="shared" si="6"/>
        <v>0</v>
      </c>
      <c r="T9" s="30">
        <f t="shared" si="7"/>
        <v>0</v>
      </c>
      <c r="U9" s="31" t="str">
        <f t="shared" si="8"/>
        <v>- -</v>
      </c>
    </row>
    <row r="10" spans="2:21" ht="18" customHeight="1" x14ac:dyDescent="0.25">
      <c r="B10" s="32" t="str">
        <f>'Data Entry'!A10</f>
        <v>5. Cases Involving Secure Detention</v>
      </c>
      <c r="C10" s="33">
        <f>'Data Entry'!C10</f>
        <v>29</v>
      </c>
      <c r="D10" s="34">
        <f>IF(((AND(C68&gt;0,C10&gt;0))),(C10/(C68)),0)</f>
        <v>34.939759036144579</v>
      </c>
      <c r="E10" s="33">
        <f>'Data Entry'!J10</f>
        <v>74</v>
      </c>
      <c r="F10" s="34">
        <f>IF(((AND($E$10&gt;0,$D$68&gt;0))),($E$10/($D$68)),0)</f>
        <v>53.623188405797109</v>
      </c>
      <c r="G10" s="39">
        <f t="shared" si="0"/>
        <v>1.5347326336831586</v>
      </c>
      <c r="H10" s="40"/>
      <c r="I10" s="41"/>
      <c r="J10" s="40">
        <f>IF((ABS($U10)&gt;Defaults!D$7),1,2)</f>
        <v>1</v>
      </c>
      <c r="K10" s="39">
        <f>IF((AND(N10&gt;Defaults!B$12,(N10+O10)&gt;Defaults!B$13, P10 &gt; Defaults!B$12, (P10+Q10) &gt; Defaults!B$13)),1,20)</f>
        <v>1</v>
      </c>
      <c r="L10" s="1">
        <f t="shared" si="1"/>
        <v>1</v>
      </c>
      <c r="M10" s="1" t="b">
        <f t="shared" si="2"/>
        <v>1</v>
      </c>
      <c r="N10" s="42">
        <f t="shared" si="3"/>
        <v>74</v>
      </c>
      <c r="O10" s="42">
        <f>(D$68*L68)-E10</f>
        <v>64</v>
      </c>
      <c r="P10" s="42">
        <f t="shared" si="4"/>
        <v>29</v>
      </c>
      <c r="Q10" s="42">
        <f>(C$68*L68)-C10</f>
        <v>54</v>
      </c>
      <c r="R10" s="42">
        <f t="shared" si="5"/>
        <v>221</v>
      </c>
      <c r="S10" s="30">
        <f t="shared" si="6"/>
        <v>1012091600</v>
      </c>
      <c r="T10" s="30">
        <f t="shared" si="7"/>
        <v>139211916</v>
      </c>
      <c r="U10" s="31">
        <f t="shared" si="8"/>
        <v>7.2701506385416028</v>
      </c>
    </row>
    <row r="11" spans="2:21" ht="18" customHeight="1" x14ac:dyDescent="0.25">
      <c r="B11" s="32" t="str">
        <f>'Data Entry'!A11</f>
        <v>6. Cases Petitioned (Charge Filed)</v>
      </c>
      <c r="C11" s="33">
        <f>'Data Entry'!C11</f>
        <v>76</v>
      </c>
      <c r="D11" s="34">
        <f>IF(((AND(C68&gt;0,C11&gt;0))),(C11/(C68)),0)</f>
        <v>91.566265060240966</v>
      </c>
      <c r="E11" s="33">
        <f>'Data Entry'!J11</f>
        <v>129</v>
      </c>
      <c r="F11" s="34">
        <f>IF(((AND($E$11&gt;0,$D$68&gt;0))),($E$11/($D$68)),0)</f>
        <v>93.478260869565219</v>
      </c>
      <c r="G11" s="39">
        <f t="shared" si="0"/>
        <v>1.0208810068649885</v>
      </c>
      <c r="H11" s="40"/>
      <c r="I11" s="41"/>
      <c r="J11" s="40">
        <f>IF((ABS($U11)&gt;Defaults!D$7),1,2)</f>
        <v>2</v>
      </c>
      <c r="K11" s="39">
        <f>IF((AND(N11&gt;Defaults!B$12,(N11+O11)&gt;Defaults!B$13, P11 &gt; Defaults!B$12, (P11+Q11) &gt; Defaults!B$13)),1,20)</f>
        <v>1</v>
      </c>
      <c r="L11" s="1">
        <f t="shared" si="1"/>
        <v>2</v>
      </c>
      <c r="M11" s="1" t="b">
        <f t="shared" si="2"/>
        <v>1</v>
      </c>
      <c r="N11" s="42">
        <f t="shared" si="3"/>
        <v>129</v>
      </c>
      <c r="O11" s="42">
        <f>(D$68*L68)-E11</f>
        <v>9</v>
      </c>
      <c r="P11" s="42">
        <f t="shared" si="4"/>
        <v>76</v>
      </c>
      <c r="Q11" s="42">
        <f>(C$68*L68)-C11</f>
        <v>7</v>
      </c>
      <c r="R11" s="42">
        <f t="shared" si="5"/>
        <v>221</v>
      </c>
      <c r="S11" s="30">
        <f t="shared" si="6"/>
        <v>10599381</v>
      </c>
      <c r="T11" s="30">
        <f t="shared" si="7"/>
        <v>37569120</v>
      </c>
      <c r="U11" s="31">
        <f t="shared" si="8"/>
        <v>0.28213013773013579</v>
      </c>
    </row>
    <row r="12" spans="2:21" ht="18" customHeight="1" x14ac:dyDescent="0.25">
      <c r="B12" s="32" t="str">
        <f>'Data Entry'!A12</f>
        <v>7. Cases Resulting in Delinquent Findings</v>
      </c>
      <c r="C12" s="33">
        <f>'Data Entry'!C12</f>
        <v>28</v>
      </c>
      <c r="D12" s="34">
        <f>IF(((AND(C69&gt;0,C12&gt;0))),(C12/(C69)),0)</f>
        <v>36.842105263157897</v>
      </c>
      <c r="E12" s="33">
        <f>'Data Entry'!J12</f>
        <v>38</v>
      </c>
      <c r="F12" s="34">
        <f>IF(((AND($D$69&gt;0,$E$12&gt;0))),(E12/(D69)),0)</f>
        <v>29.45736434108527</v>
      </c>
      <c r="G12" s="39">
        <f t="shared" si="0"/>
        <v>0.7995570321151716</v>
      </c>
      <c r="H12" s="40"/>
      <c r="I12" s="41"/>
      <c r="J12" s="40">
        <f>IF((ABS($U12)&gt;Defaults!D$7),1,2)</f>
        <v>2</v>
      </c>
      <c r="K12" s="39">
        <f>IF((AND(N12&gt;Defaults!B$12,(N12+O12)&gt;Defaults!B$13, P12 &gt; Defaults!B$12, (P12+Q12) &gt; Defaults!B$13)),1,20)</f>
        <v>1</v>
      </c>
      <c r="L12" s="1">
        <f t="shared" si="1"/>
        <v>2</v>
      </c>
      <c r="M12" s="1" t="b">
        <f t="shared" si="2"/>
        <v>1</v>
      </c>
      <c r="N12" s="42">
        <f t="shared" si="3"/>
        <v>38</v>
      </c>
      <c r="O12" s="42">
        <f>(D69*L69)-E12</f>
        <v>91</v>
      </c>
      <c r="P12" s="42">
        <f t="shared" si="4"/>
        <v>28</v>
      </c>
      <c r="Q12" s="42">
        <f>(C69*L69)-C12</f>
        <v>48</v>
      </c>
      <c r="R12" s="42">
        <f t="shared" si="5"/>
        <v>205</v>
      </c>
      <c r="S12" s="30">
        <f t="shared" si="6"/>
        <v>107456080</v>
      </c>
      <c r="T12" s="30">
        <f t="shared" si="7"/>
        <v>89941896</v>
      </c>
      <c r="U12" s="31">
        <f t="shared" si="8"/>
        <v>1.1947277606867439</v>
      </c>
    </row>
    <row r="13" spans="2:21" ht="18" customHeight="1" x14ac:dyDescent="0.25">
      <c r="B13" s="32" t="str">
        <f>'Data Entry'!A13</f>
        <v>8. Cases Resulting in Probation Placement</v>
      </c>
      <c r="C13" s="33">
        <f>'Data Entry'!C13</f>
        <v>35</v>
      </c>
      <c r="D13" s="34">
        <f>IF(((AND(C70&gt;0,C13&gt;0))),(C13/(C70)),0)</f>
        <v>124.99999999999999</v>
      </c>
      <c r="E13" s="33">
        <f>'Data Entry'!J13</f>
        <v>64</v>
      </c>
      <c r="F13" s="34">
        <f>IF(((AND($D$70&gt;0,$E$13&gt;0))),($E$13/($D$70)),0)</f>
        <v>168.42105263157896</v>
      </c>
      <c r="G13" s="39" t="str">
        <f t="shared" si="0"/>
        <v>**</v>
      </c>
      <c r="H13" s="40"/>
      <c r="I13" s="41"/>
      <c r="J13" s="40">
        <f>IF((ABS($U13)&gt;Defaults!D$7),1,2)</f>
        <v>1</v>
      </c>
      <c r="K13" s="39">
        <f>IF((AND(N13&gt;Defaults!B$12,(N13+O13)&gt;Defaults!B$13, P13 &gt; Defaults!B$12, (P13+Q13) &gt; Defaults!B$13)),1,20)</f>
        <v>20</v>
      </c>
      <c r="L13" s="1">
        <f t="shared" si="1"/>
        <v>20</v>
      </c>
      <c r="M13" s="1" t="b">
        <f t="shared" si="2"/>
        <v>1</v>
      </c>
      <c r="N13" s="42">
        <f t="shared" si="3"/>
        <v>64</v>
      </c>
      <c r="O13" s="42">
        <f>(D70*L70)-E13</f>
        <v>-26</v>
      </c>
      <c r="P13" s="42">
        <f t="shared" si="4"/>
        <v>35</v>
      </c>
      <c r="Q13" s="42">
        <f>(C70*L70)-C13</f>
        <v>-6.9999999999999964</v>
      </c>
      <c r="R13" s="42">
        <f t="shared" si="5"/>
        <v>66</v>
      </c>
      <c r="S13" s="30">
        <f t="shared" si="6"/>
        <v>14087304.000000013</v>
      </c>
      <c r="T13" s="30">
        <f t="shared" si="7"/>
        <v>-3476088.0000000009</v>
      </c>
      <c r="U13" s="31">
        <f t="shared" si="8"/>
        <v>-4.0526315789473708</v>
      </c>
    </row>
    <row r="14" spans="2:21" ht="30.75" customHeight="1" x14ac:dyDescent="0.25">
      <c r="B14" s="32" t="str">
        <f>'Data Entry'!A14</f>
        <v xml:space="preserve">9. Cases Resulting in Confinement in Secure Juvenile Correctional Facilities </v>
      </c>
      <c r="C14" s="33">
        <f>'Data Entry'!C14</f>
        <v>29</v>
      </c>
      <c r="D14" s="34">
        <f>IF(((AND(C70&gt;0,C14&gt;0))), ((C14/(C70))),0)</f>
        <v>103.57142857142856</v>
      </c>
      <c r="E14" s="33">
        <f>'Data Entry'!J14</f>
        <v>56</v>
      </c>
      <c r="F14" s="34">
        <f>IF(((AND($D$70&gt;0,$E$14&gt;0))), (($E$14/($D$70))),0)</f>
        <v>147.36842105263159</v>
      </c>
      <c r="G14" s="39" t="str">
        <f t="shared" si="0"/>
        <v>**</v>
      </c>
      <c r="H14" s="40"/>
      <c r="I14" s="41"/>
      <c r="J14" s="40">
        <f>IF((ABS($U14)&gt;Defaults!D$7),1,2)</f>
        <v>1</v>
      </c>
      <c r="K14" s="39">
        <f>IF((AND(N14&gt;Defaults!B$12,(N14+O14)&gt;Defaults!B$13, P14 &gt; Defaults!B$12, (P14+Q14) &gt; Defaults!B$13)),1,20)</f>
        <v>20</v>
      </c>
      <c r="L14" s="1">
        <f t="shared" si="1"/>
        <v>20</v>
      </c>
      <c r="M14" s="1" t="b">
        <f t="shared" si="2"/>
        <v>1</v>
      </c>
      <c r="N14" s="42">
        <f t="shared" si="3"/>
        <v>56</v>
      </c>
      <c r="O14" s="42">
        <f>(D70*L70)-E14</f>
        <v>-18</v>
      </c>
      <c r="P14" s="42">
        <f t="shared" si="4"/>
        <v>29</v>
      </c>
      <c r="Q14" s="42">
        <f>(C70*L70)-C14</f>
        <v>-0.99999999999999645</v>
      </c>
      <c r="R14" s="42">
        <f t="shared" si="5"/>
        <v>66</v>
      </c>
      <c r="S14" s="30">
        <f t="shared" si="6"/>
        <v>14332296.000000013</v>
      </c>
      <c r="T14" s="30">
        <f t="shared" si="7"/>
        <v>-1718360</v>
      </c>
      <c r="U14" s="31">
        <f t="shared" si="8"/>
        <v>-8.3406829767918325</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129</v>
      </c>
      <c r="P15" s="42">
        <f t="shared" si="4"/>
        <v>0</v>
      </c>
      <c r="Q15" s="42">
        <f>(C69*L69)-C15</f>
        <v>76</v>
      </c>
      <c r="R15" s="42">
        <f t="shared" si="5"/>
        <v>205</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8.532</v>
      </c>
      <c r="D42" s="56">
        <f>E6/1000</f>
        <v>3.548</v>
      </c>
      <c r="E42" s="56">
        <f>MAX(C42:D42)</f>
        <v>8.532</v>
      </c>
      <c r="G42" s="1" t="str">
        <f>B42</f>
        <v>per 1000 youth</v>
      </c>
      <c r="L42" s="57">
        <v>1000</v>
      </c>
      <c r="M42" s="57"/>
      <c r="R42" s="49"/>
    </row>
    <row r="43" spans="2:18" ht="15" hidden="1" customHeight="1" x14ac:dyDescent="0.25">
      <c r="B43" s="49" t="s">
        <v>87</v>
      </c>
      <c r="C43" s="56">
        <f>C7/100</f>
        <v>0.04</v>
      </c>
      <c r="D43" s="56">
        <f>E7/100</f>
        <v>0.03</v>
      </c>
      <c r="E43" s="56">
        <f>MAX(C43:D43,0)</f>
        <v>0.04</v>
      </c>
      <c r="G43" s="1" t="str">
        <f>B43</f>
        <v>per 100 arrests</v>
      </c>
      <c r="L43" s="57">
        <v>100</v>
      </c>
      <c r="M43" s="57"/>
      <c r="R43" s="49"/>
    </row>
    <row r="44" spans="2:18" ht="15" hidden="1" customHeight="1" x14ac:dyDescent="0.25">
      <c r="B44" s="49" t="s">
        <v>88</v>
      </c>
      <c r="C44" s="56">
        <f>C8/100</f>
        <v>0.83</v>
      </c>
      <c r="D44" s="56">
        <f>E8/100</f>
        <v>1.38</v>
      </c>
      <c r="E44" s="56">
        <f>MAX(C44:D44,0)</f>
        <v>1.38</v>
      </c>
      <c r="G44" s="1" t="str">
        <f>B44</f>
        <v>per 100 referrals</v>
      </c>
      <c r="L44" s="57">
        <v>100</v>
      </c>
      <c r="M44" s="57"/>
      <c r="R44" s="49"/>
    </row>
    <row r="45" spans="2:18" ht="15" hidden="1" customHeight="1" x14ac:dyDescent="0.25">
      <c r="B45" s="49" t="s">
        <v>89</v>
      </c>
      <c r="C45" s="49">
        <f>C11/100</f>
        <v>0.76</v>
      </c>
      <c r="D45" s="49">
        <f>E11/100</f>
        <v>1.29</v>
      </c>
      <c r="E45" s="56">
        <f>MAX(C45:D45,0)</f>
        <v>1.29</v>
      </c>
      <c r="G45" s="1" t="str">
        <f>B45</f>
        <v>per 100 youth petitioned</v>
      </c>
      <c r="L45" s="57">
        <v>100</v>
      </c>
      <c r="M45" s="57"/>
      <c r="R45" s="49"/>
    </row>
    <row r="46" spans="2:18" ht="15" hidden="1" customHeight="1" x14ac:dyDescent="0.25">
      <c r="B46" s="49" t="s">
        <v>90</v>
      </c>
      <c r="C46" s="49">
        <f>C12/100</f>
        <v>0.28000000000000003</v>
      </c>
      <c r="D46" s="49">
        <f>E12/100</f>
        <v>0.38</v>
      </c>
      <c r="E46" s="56">
        <f>MAX(C46:D46)</f>
        <v>0.38</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8.532</v>
      </c>
      <c r="D48" s="56">
        <f>D42</f>
        <v>3.548</v>
      </c>
      <c r="E48" s="56">
        <f>MAX(C48:D48)</f>
        <v>8.532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0.04</v>
      </c>
      <c r="D49" s="49">
        <f t="shared" si="9"/>
        <v>0.03</v>
      </c>
      <c r="E49" s="49">
        <f>MAX(C49:D49)</f>
        <v>0.04</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0.83</v>
      </c>
      <c r="D50" s="49">
        <f t="shared" si="9"/>
        <v>1.38</v>
      </c>
      <c r="E50" s="49">
        <f>MAX(C50:D50)</f>
        <v>1.38</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0.76</v>
      </c>
      <c r="D51" s="49">
        <f>IF(($E45&gt;0),D45,D44)</f>
        <v>1.29</v>
      </c>
      <c r="E51" s="49">
        <f>MAX(C51:D51)</f>
        <v>1.29</v>
      </c>
      <c r="G51" s="1" t="str">
        <f>G45</f>
        <v>per 100 youth petitioned</v>
      </c>
      <c r="L51" s="58">
        <f>IF(($E45&gt;0),L45,L44)</f>
        <v>100</v>
      </c>
      <c r="M51" s="58"/>
    </row>
    <row r="52" spans="2:18" ht="15" hidden="1" customHeight="1" x14ac:dyDescent="0.25">
      <c r="B52" s="49" t="str">
        <f>IF(($E46&gt;0),B46,B45)</f>
        <v>per 100 youth found delinquent</v>
      </c>
      <c r="C52" s="49">
        <f>IF(($E46&gt;0),C46,C45)</f>
        <v>0.28000000000000003</v>
      </c>
      <c r="D52" s="49">
        <f>IF(($E46&gt;0),D46,D45)</f>
        <v>0.38</v>
      </c>
      <c r="E52" s="56">
        <f>MAX(C52:D52)</f>
        <v>0.38</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8.532</v>
      </c>
      <c r="D54" s="56">
        <f>D48</f>
        <v>3.548</v>
      </c>
      <c r="E54" s="56">
        <f>MAX(C54:D54)</f>
        <v>8.532</v>
      </c>
      <c r="G54" s="1" t="str">
        <f>G48</f>
        <v>per 1000 youth</v>
      </c>
      <c r="L54" s="58">
        <f>L48</f>
        <v>1000</v>
      </c>
      <c r="M54" s="58"/>
    </row>
    <row r="55" spans="2:18" ht="15" hidden="1" customHeight="1" x14ac:dyDescent="0.25">
      <c r="B55" s="49" t="str">
        <f t="shared" ref="B55:D56" si="10">IF(($E49&gt;0),B49,B48)</f>
        <v>per 100 arrests</v>
      </c>
      <c r="C55" s="49">
        <f t="shared" si="10"/>
        <v>0.04</v>
      </c>
      <c r="D55" s="49">
        <f t="shared" si="10"/>
        <v>0.03</v>
      </c>
      <c r="E55" s="49">
        <f>MAX(C55:D55)</f>
        <v>0.04</v>
      </c>
      <c r="G55" s="1" t="str">
        <f>G49</f>
        <v>per 100 arrests</v>
      </c>
      <c r="L55" s="58">
        <f>IF(($E49&gt;0),L49,L48)</f>
        <v>100</v>
      </c>
      <c r="M55" s="58"/>
    </row>
    <row r="56" spans="2:18" ht="15" hidden="1" customHeight="1" x14ac:dyDescent="0.25">
      <c r="B56" s="49" t="str">
        <f t="shared" si="10"/>
        <v>per 100 referrals</v>
      </c>
      <c r="C56" s="49">
        <f t="shared" si="10"/>
        <v>0.83</v>
      </c>
      <c r="D56" s="49">
        <f t="shared" si="10"/>
        <v>1.38</v>
      </c>
      <c r="E56" s="49">
        <f>MAX(C56:D56)</f>
        <v>1.38</v>
      </c>
      <c r="G56" s="1" t="str">
        <f>G50</f>
        <v>per 100 referrals</v>
      </c>
      <c r="L56" s="58">
        <f>IF(($E50&gt;0),L50,L49)</f>
        <v>100</v>
      </c>
      <c r="M56" s="58"/>
    </row>
    <row r="57" spans="2:18" ht="15" hidden="1" customHeight="1" x14ac:dyDescent="0.25">
      <c r="B57" s="49" t="str">
        <f>IF(($E51&gt;0),B51,B49)</f>
        <v>per 100 youth petitioned</v>
      </c>
      <c r="C57" s="49">
        <f>IF(($E51&gt;0),C51,C50)</f>
        <v>0.76</v>
      </c>
      <c r="D57" s="49">
        <f>IF(($E51&gt;0),D51,D50)</f>
        <v>1.29</v>
      </c>
      <c r="E57" s="49">
        <f>MAX(C57:D57)</f>
        <v>1.29</v>
      </c>
      <c r="G57" s="1" t="str">
        <f>G51</f>
        <v>per 100 youth petitioned</v>
      </c>
      <c r="L57" s="58">
        <f>IF(($E51&gt;0),L51,L50)</f>
        <v>100</v>
      </c>
      <c r="M57" s="58"/>
    </row>
    <row r="58" spans="2:18" ht="15" hidden="1" customHeight="1" x14ac:dyDescent="0.25">
      <c r="B58" s="49" t="str">
        <f>IF(($E52&gt;0),B52,B51)</f>
        <v>per 100 youth found delinquent</v>
      </c>
      <c r="C58" s="49">
        <f>IF(($E52&gt;0),C52,C51)</f>
        <v>0.28000000000000003</v>
      </c>
      <c r="D58" s="49">
        <f>IF(($E52&gt;0),D52,D51)</f>
        <v>0.38</v>
      </c>
      <c r="E58" s="56">
        <f>MAX(C58:D58)</f>
        <v>0.38</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8.532</v>
      </c>
      <c r="D60" s="56">
        <f>D54</f>
        <v>3.548</v>
      </c>
      <c r="E60" s="56">
        <f>MAX(C60:D60)</f>
        <v>8.532</v>
      </c>
      <c r="G60" s="1" t="str">
        <f>G54</f>
        <v>per 1000 youth</v>
      </c>
      <c r="L60" s="58">
        <f>L54</f>
        <v>1000</v>
      </c>
      <c r="M60" s="58"/>
    </row>
    <row r="61" spans="2:18" ht="15" hidden="1" customHeight="1" x14ac:dyDescent="0.25">
      <c r="B61" s="49" t="str">
        <f t="shared" ref="B61:D62" si="11">IF(($E55&gt;0),B55,B54)</f>
        <v>per 100 arrests</v>
      </c>
      <c r="C61" s="49">
        <f t="shared" si="11"/>
        <v>0.04</v>
      </c>
      <c r="D61" s="49">
        <f t="shared" si="11"/>
        <v>0.03</v>
      </c>
      <c r="E61" s="49">
        <f>MAX(C61:D61)</f>
        <v>0.04</v>
      </c>
      <c r="G61" s="1" t="str">
        <f>G55</f>
        <v>per 100 arrests</v>
      </c>
      <c r="L61" s="58">
        <f>IF(($E55&gt;0),L55,L54)</f>
        <v>100</v>
      </c>
      <c r="M61" s="58"/>
    </row>
    <row r="62" spans="2:18" ht="15" hidden="1" customHeight="1" x14ac:dyDescent="0.25">
      <c r="B62" s="49" t="str">
        <f t="shared" si="11"/>
        <v>per 100 referrals</v>
      </c>
      <c r="C62" s="49">
        <f t="shared" si="11"/>
        <v>0.83</v>
      </c>
      <c r="D62" s="49">
        <f t="shared" si="11"/>
        <v>1.38</v>
      </c>
      <c r="E62" s="49">
        <f>MAX(C62:D62)</f>
        <v>1.38</v>
      </c>
      <c r="G62" s="1" t="str">
        <f>G56</f>
        <v>per 100 referrals</v>
      </c>
      <c r="L62" s="58">
        <f>IF(($E56&gt;0),L56,L55)</f>
        <v>100</v>
      </c>
      <c r="M62" s="58"/>
    </row>
    <row r="63" spans="2:18" ht="15" hidden="1" customHeight="1" x14ac:dyDescent="0.25">
      <c r="B63" s="49" t="str">
        <f>IF(($E57&gt;0),B57,B55)</f>
        <v>per 100 youth petitioned</v>
      </c>
      <c r="C63" s="49">
        <f>IF(($E57&gt;0),C57,C56)</f>
        <v>0.76</v>
      </c>
      <c r="D63" s="49">
        <f>IF(($E57&gt;0),D57,D56)</f>
        <v>1.29</v>
      </c>
      <c r="E63" s="49">
        <f>MAX(C63:D63)</f>
        <v>1.29</v>
      </c>
      <c r="G63" s="1" t="str">
        <f>G57</f>
        <v>per 100 youth petitioned</v>
      </c>
      <c r="L63" s="58">
        <f>IF(($E57&gt;0),L57,L56)</f>
        <v>100</v>
      </c>
      <c r="M63" s="58"/>
    </row>
    <row r="64" spans="2:18" ht="15" hidden="1" customHeight="1" x14ac:dyDescent="0.25">
      <c r="B64" s="49" t="str">
        <f>IF(($E58&gt;0),B58,B57)</f>
        <v>per 100 youth found delinquent</v>
      </c>
      <c r="C64" s="49">
        <f>IF(($E58&gt;0),C58,C57)</f>
        <v>0.28000000000000003</v>
      </c>
      <c r="D64" s="49">
        <f>IF(($E58&gt;0),D58,D57)</f>
        <v>0.38</v>
      </c>
      <c r="E64" s="56">
        <f>MAX(C64:D64)</f>
        <v>0.38</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8.532</v>
      </c>
      <c r="D66" s="56">
        <f>D60</f>
        <v>3.548</v>
      </c>
      <c r="E66" s="56">
        <f>MAX(C66:D66)</f>
        <v>8.532</v>
      </c>
      <c r="G66" s="1" t="str">
        <f>G60</f>
        <v>per 1000 youth</v>
      </c>
      <c r="L66" s="58">
        <f>L60</f>
        <v>1000</v>
      </c>
      <c r="M66" s="58">
        <f>IF((B66=G66),1,2)</f>
        <v>1</v>
      </c>
    </row>
    <row r="67" spans="2:13" ht="15" hidden="1" customHeight="1" x14ac:dyDescent="0.25">
      <c r="B67" s="49" t="str">
        <f t="shared" ref="B67:D68" si="12">IF(($E61&gt;0),B61,B60)</f>
        <v>per 100 arrests</v>
      </c>
      <c r="C67" s="49">
        <f t="shared" si="12"/>
        <v>0.04</v>
      </c>
      <c r="D67" s="49">
        <f t="shared" si="12"/>
        <v>0.03</v>
      </c>
      <c r="E67" s="49">
        <f>MAX(C67:D67)</f>
        <v>0.04</v>
      </c>
      <c r="G67" s="1" t="str">
        <f>G61</f>
        <v>per 100 arrests</v>
      </c>
      <c r="L67" s="58">
        <f>IF(($E61&gt;0),L61,L60)</f>
        <v>100</v>
      </c>
      <c r="M67" s="58">
        <f>IF((B67=G67),1,2)</f>
        <v>1</v>
      </c>
    </row>
    <row r="68" spans="2:13" ht="15" hidden="1" customHeight="1" x14ac:dyDescent="0.25">
      <c r="B68" s="49" t="str">
        <f t="shared" si="12"/>
        <v>per 100 referrals</v>
      </c>
      <c r="C68" s="49">
        <f t="shared" si="12"/>
        <v>0.83</v>
      </c>
      <c r="D68" s="49">
        <f t="shared" si="12"/>
        <v>1.38</v>
      </c>
      <c r="E68" s="49">
        <f>MAX(C68:D68)</f>
        <v>1.38</v>
      </c>
      <c r="G68" s="1" t="str">
        <f>G62</f>
        <v>per 100 referrals</v>
      </c>
      <c r="L68" s="58">
        <f>IF(($E62&gt;0),L62,L61)</f>
        <v>100</v>
      </c>
      <c r="M68" s="58">
        <f>IF((B68=G68),1,2)</f>
        <v>1</v>
      </c>
    </row>
    <row r="69" spans="2:13" ht="15" hidden="1" customHeight="1" x14ac:dyDescent="0.25">
      <c r="B69" s="49" t="str">
        <f>IF(($E63&gt;0),B63,B61)</f>
        <v>per 100 youth petitioned</v>
      </c>
      <c r="C69" s="49">
        <f>IF(($E63&gt;0),C63,C62)</f>
        <v>0.76</v>
      </c>
      <c r="D69" s="49">
        <f>IF(($E63&gt;0),D63,D62)</f>
        <v>1.29</v>
      </c>
      <c r="E69" s="49">
        <f>MAX(C69:D69)</f>
        <v>1.29</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0.28000000000000003</v>
      </c>
      <c r="D70" s="49">
        <f>IF(($E64&gt;0),D64,D63)</f>
        <v>0.38</v>
      </c>
      <c r="E70" s="56">
        <f>MAX(C70:D70)</f>
        <v>0.38</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Calhoun</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40</v>
      </c>
      <c r="O7" s="1" t="e">
        <f>Hawaiian!L7</f>
        <v>#VALUE!</v>
      </c>
      <c r="P7" s="1">
        <f>'Am Indian'!L7</f>
        <v>139</v>
      </c>
      <c r="Q7" s="1" t="e">
        <f>'Other - Mixed'!L7</f>
        <v>#VALUE!</v>
      </c>
      <c r="R7" s="1">
        <f>'All Minorities'!L7</f>
        <v>40</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40</v>
      </c>
      <c r="O8" s="1">
        <f>Hawaiian!L8</f>
        <v>139</v>
      </c>
      <c r="P8" s="1">
        <f>'Am Indian'!L8</f>
        <v>139</v>
      </c>
      <c r="Q8" s="1">
        <f>'Other - Mixed'!L8</f>
        <v>119</v>
      </c>
      <c r="R8" s="1">
        <f>'All Minorities'!L8</f>
        <v>40</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x14ac:dyDescent="0.25">
      <c r="B10" s="71" t="s">
        <v>11</v>
      </c>
      <c r="C10" s="72">
        <f>'Black or African-American'!$G10</f>
        <v>1.3893538667559422</v>
      </c>
      <c r="D10" s="72" t="str">
        <f>Hispanic!G10</f>
        <v>**</v>
      </c>
      <c r="E10" s="72" t="str">
        <f>Asian!G10</f>
        <v>**</v>
      </c>
      <c r="F10" s="72" t="str">
        <f>Hawaiian!G10</f>
        <v>*</v>
      </c>
      <c r="G10" s="72" t="str">
        <f>'Am Indian'!G10</f>
        <v>*</v>
      </c>
      <c r="H10" s="72" t="str">
        <f>'Other - Mixed'!G10</f>
        <v>*</v>
      </c>
      <c r="I10" s="73">
        <f>'All Minorities'!G10</f>
        <v>1.5347326336831586</v>
      </c>
      <c r="L10" s="1">
        <f>'Black or African-American'!L10</f>
        <v>2</v>
      </c>
      <c r="M10" s="1">
        <f>Hispanic!L10</f>
        <v>40</v>
      </c>
      <c r="N10" s="1">
        <f>Asian!L10</f>
        <v>40</v>
      </c>
      <c r="O10" s="1" t="e">
        <f>Hawaiian!L10</f>
        <v>#VALUE!</v>
      </c>
      <c r="P10" s="1" t="e">
        <f>'Am Indian'!L10</f>
        <v>#VALUE!</v>
      </c>
      <c r="Q10" s="1">
        <f>'Other - Mixed'!L10</f>
        <v>119</v>
      </c>
      <c r="R10" s="1">
        <f>'All Minorities'!L10</f>
        <v>1</v>
      </c>
    </row>
    <row r="11" spans="2:18" ht="15" customHeight="1" x14ac:dyDescent="0.25">
      <c r="B11" s="71" t="s">
        <v>95</v>
      </c>
      <c r="C11" s="72">
        <f>'Black or African-American'!$G11</f>
        <v>1.0072815533980584</v>
      </c>
      <c r="D11" s="72" t="str">
        <f>Hispanic!G11</f>
        <v>**</v>
      </c>
      <c r="E11" s="72" t="str">
        <f>Asian!G11</f>
        <v>**</v>
      </c>
      <c r="F11" s="72" t="str">
        <f>Hawaiian!G11</f>
        <v>*</v>
      </c>
      <c r="G11" s="72" t="str">
        <f>'Am Indian'!G11</f>
        <v>*</v>
      </c>
      <c r="H11" s="72" t="str">
        <f>'Other - Mixed'!G11</f>
        <v>*</v>
      </c>
      <c r="I11" s="73">
        <f>'All Minorities'!G11</f>
        <v>1.0208810068649885</v>
      </c>
      <c r="L11" s="1">
        <f>'Black or African-American'!L11</f>
        <v>2</v>
      </c>
      <c r="M11" s="1">
        <f>Hispanic!L11</f>
        <v>40</v>
      </c>
      <c r="N11" s="1">
        <f>Asian!L11</f>
        <v>40</v>
      </c>
      <c r="O11" s="1" t="e">
        <f>Hawaiian!L11</f>
        <v>#VALUE!</v>
      </c>
      <c r="P11" s="1" t="e">
        <f>'Am Indian'!L11</f>
        <v>#VALUE!</v>
      </c>
      <c r="Q11" s="1">
        <f>'Other - Mixed'!L11</f>
        <v>139</v>
      </c>
      <c r="R11" s="1">
        <f>'All Minorities'!L11</f>
        <v>2</v>
      </c>
    </row>
    <row r="12" spans="2:18" ht="15" customHeight="1" x14ac:dyDescent="0.25">
      <c r="B12" s="71" t="s">
        <v>13</v>
      </c>
      <c r="C12" s="72">
        <f>'Black or African-American'!$G12</f>
        <v>0.77142857142857146</v>
      </c>
      <c r="D12" s="72" t="str">
        <f>Hispanic!G12</f>
        <v>**</v>
      </c>
      <c r="E12" s="72" t="str">
        <f>Asian!G12</f>
        <v>**</v>
      </c>
      <c r="F12" s="72" t="str">
        <f>Hawaiian!G12</f>
        <v>*</v>
      </c>
      <c r="G12" s="72" t="str">
        <f>'Am Indian'!G12</f>
        <v>*</v>
      </c>
      <c r="H12" s="72" t="str">
        <f>'Other - Mixed'!G12</f>
        <v>*</v>
      </c>
      <c r="I12" s="73">
        <f>'All Minorities'!G12</f>
        <v>0.7995570321151716</v>
      </c>
      <c r="L12" s="1">
        <f>'Black or African-American'!L12</f>
        <v>2</v>
      </c>
      <c r="M12" s="1">
        <f>Hispanic!L12</f>
        <v>40</v>
      </c>
      <c r="N12" s="1">
        <f>Asian!L12</f>
        <v>40</v>
      </c>
      <c r="O12" s="1" t="e">
        <f>Hawaiian!L12</f>
        <v>#VALUE!</v>
      </c>
      <c r="P12" s="1" t="e">
        <f>'Am Indian'!L12</f>
        <v>#VALUE!</v>
      </c>
      <c r="Q12" s="1">
        <f>'Other - Mixed'!L12</f>
        <v>139</v>
      </c>
      <c r="R12" s="1">
        <f>'All Minorities'!L12</f>
        <v>2</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f>'Black or African-American'!L13</f>
        <v>40</v>
      </c>
      <c r="M13" s="1">
        <f>Hispanic!L13</f>
        <v>40</v>
      </c>
      <c r="N13" s="1" t="e">
        <f>Asian!L13</f>
        <v>#VALUE!</v>
      </c>
      <c r="O13" s="1" t="e">
        <f>Hawaiian!L13</f>
        <v>#VALUE!</v>
      </c>
      <c r="P13" s="1" t="e">
        <f>'Am Indian'!L13</f>
        <v>#VALUE!</v>
      </c>
      <c r="Q13" s="1">
        <f>'Other - Mixed'!L13</f>
        <v>119</v>
      </c>
      <c r="R13" s="1">
        <f>'All Minorities'!L13</f>
        <v>20</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20</v>
      </c>
      <c r="M14" s="1">
        <f>Hispanic!L14</f>
        <v>40</v>
      </c>
      <c r="N14" s="1" t="e">
        <f>Asian!L14</f>
        <v>#VALUE!</v>
      </c>
      <c r="O14" s="1" t="e">
        <f>Hawaiian!L14</f>
        <v>#VALUE!</v>
      </c>
      <c r="P14" s="1" t="e">
        <f>'Am Indian'!L14</f>
        <v>#VALUE!</v>
      </c>
      <c r="Q14" s="1">
        <f>'Other - Mixed'!L14</f>
        <v>119</v>
      </c>
      <c r="R14" s="1">
        <f>'All Minorities'!L14</f>
        <v>20</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12080</v>
      </c>
      <c r="D3" s="57">
        <f>'Data Entry'!C6</f>
        <v>8532</v>
      </c>
      <c r="E3" s="57">
        <f>'Data Entry'!D6</f>
        <v>2046</v>
      </c>
      <c r="F3" s="57">
        <f>'Data Entry'!E6</f>
        <v>1058</v>
      </c>
      <c r="G3" s="57">
        <f>'Data Entry'!F6</f>
        <v>351</v>
      </c>
      <c r="H3" s="57">
        <f>'Data Entry'!G6</f>
        <v>0</v>
      </c>
      <c r="I3" s="57">
        <f>'Data Entry'!H6</f>
        <v>93</v>
      </c>
      <c r="J3" s="57">
        <f>'Data Entry'!I6</f>
        <v>0</v>
      </c>
      <c r="K3" s="57">
        <f>'Data Entry'!J6</f>
        <v>3548</v>
      </c>
    </row>
    <row r="4" spans="2:11" ht="15" customHeight="1" x14ac:dyDescent="0.25">
      <c r="B4" s="16" t="s">
        <v>8</v>
      </c>
      <c r="C4" s="1">
        <f>IF((C$3&gt;0),(1000*('Data Entry'!B7/'Data Entry'!B$6)), 0)</f>
        <v>0.57947019867549676</v>
      </c>
      <c r="D4" s="1">
        <f>IF((D$3&gt;0),(1000*('Data Entry'!C7/'Data Entry'!C$6)), 0)</f>
        <v>0.46882325363338023</v>
      </c>
      <c r="E4" s="1">
        <f>IF((E$3&gt;0),(1000*('Data Entry'!D7/'Data Entry'!D$6)), 0)</f>
        <v>1.466275659824047</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0.84554678692220964</v>
      </c>
    </row>
    <row r="5" spans="2:11" ht="15" customHeight="1" x14ac:dyDescent="0.25">
      <c r="B5" s="16" t="s">
        <v>9</v>
      </c>
      <c r="C5" s="1">
        <f>IF((C$3&gt;0),(1000*('Data Entry'!B8/'Data Entry'!B$6)), 0)</f>
        <v>20.364238410596027</v>
      </c>
      <c r="D5" s="1">
        <f>IF((D$3&gt;0),(1000*('Data Entry'!C8/'Data Entry'!C$6)), 0)</f>
        <v>9.7280825128926391</v>
      </c>
      <c r="E5" s="1">
        <f>IF((E$3&gt;0),(1000*('Data Entry'!D8/'Data Entry'!D$6)), 0)</f>
        <v>50.342130987292272</v>
      </c>
      <c r="F5" s="1">
        <f>IF((F$3&gt;0),(1000*('Data Entry'!E8/'Data Entry'!E$6)), 0)</f>
        <v>7.5614366729678641</v>
      </c>
      <c r="G5" s="1">
        <f>IF((G$3&gt;0),(1000*('Data Entry'!F8/'Data Entry'!F$6)), 0)</f>
        <v>2.8490028490028489</v>
      </c>
      <c r="H5" s="1">
        <f>IF((H$3&gt;0),(1000*('Data Entry'!G8/'Data Entry'!G$6)), 0)</f>
        <v>0</v>
      </c>
      <c r="I5" s="1">
        <f>IF((I$3&gt;0),(1000*('Data Entry'!H8/'Data Entry'!H$6)), 0)</f>
        <v>0</v>
      </c>
      <c r="J5" s="1">
        <f>IF((J$3&gt;0),(1000*('Data Entry'!I8/'Data Entry'!I$6)), 0)</f>
        <v>0</v>
      </c>
      <c r="K5" s="1">
        <f>IF((K$3&gt;0),(1000*('Data Entry'!J8/'Data Entry'!J$6)), 0)</f>
        <v>38.895152198421648</v>
      </c>
    </row>
    <row r="6" spans="2:11" ht="15" customHeight="1" x14ac:dyDescent="0.25">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9.6026490066225172</v>
      </c>
      <c r="D7" s="1">
        <f>IF((D$3&gt;0),(1000*('Data Entry'!C10/'Data Entry'!C$6)), 0)</f>
        <v>3.3989685888420063</v>
      </c>
      <c r="E7" s="1">
        <f>IF((E$3&gt;0),(1000*('Data Entry'!D10/'Data Entry'!D$6)), 0)</f>
        <v>24.437927663734115</v>
      </c>
      <c r="F7" s="1">
        <f>IF((F$3&gt;0),(1000*('Data Entry'!E10/'Data Entry'!E$6)), 0)</f>
        <v>4.7258979206049148</v>
      </c>
      <c r="G7" s="1">
        <f>IF((G$3&gt;0),(1000*('Data Entry'!F10/'Data Entry'!F$6)), 0)</f>
        <v>0</v>
      </c>
      <c r="H7" s="1">
        <f>IF((H$3&gt;0),(1000*('Data Entry'!G10/'Data Entry'!G$6)), 0)</f>
        <v>0</v>
      </c>
      <c r="I7" s="1">
        <f>IF((I$3&gt;0),(1000*('Data Entry'!H10/'Data Entry'!H$6)), 0)</f>
        <v>0</v>
      </c>
      <c r="J7" s="1">
        <f>IF((J$3&gt;0),(1000*('Data Entry'!I10/'Data Entry'!I$6)), 0)</f>
        <v>0</v>
      </c>
      <c r="K7" s="1">
        <f>IF((K$3&gt;0),(1000*('Data Entry'!J10/'Data Entry'!J$6)), 0)</f>
        <v>20.856820744081173</v>
      </c>
    </row>
    <row r="8" spans="2:11" ht="15" customHeight="1" x14ac:dyDescent="0.25">
      <c r="B8" s="16" t="s">
        <v>95</v>
      </c>
      <c r="C8" s="1">
        <f>IF((C$3&gt;0),(1000*('Data Entry'!B11/'Data Entry'!B$6)), 0)</f>
        <v>18.791390728476824</v>
      </c>
      <c r="D8" s="1">
        <f>IF((D$3&gt;0),(1000*('Data Entry'!C11/'Data Entry'!C$6)), 0)</f>
        <v>8.9076418190342235</v>
      </c>
      <c r="E8" s="1">
        <f>IF((E$3&gt;0),(1000*('Data Entry'!D11/'Data Entry'!D$6)), 0)</f>
        <v>46.432062561094817</v>
      </c>
      <c r="F8" s="1">
        <f>IF((F$3&gt;0),(1000*('Data Entry'!E11/'Data Entry'!E$6)), 0)</f>
        <v>7.5614366729678641</v>
      </c>
      <c r="G8" s="1">
        <f>IF((G$3&gt;0),(1000*('Data Entry'!F11/'Data Entry'!F$6)), 0)</f>
        <v>2.8490028490028489</v>
      </c>
      <c r="H8" s="1">
        <f>IF((H$3&gt;0),(1000*('Data Entry'!G11/'Data Entry'!G$6)), 0)</f>
        <v>0</v>
      </c>
      <c r="I8" s="1">
        <f>IF((I$3&gt;0),(1000*('Data Entry'!H11/'Data Entry'!H$6)), 0)</f>
        <v>0</v>
      </c>
      <c r="J8" s="1">
        <f>IF((J$3&gt;0),(1000*('Data Entry'!I11/'Data Entry'!I$6)), 0)</f>
        <v>0</v>
      </c>
      <c r="K8" s="1">
        <f>IF((K$3&gt;0),(1000*('Data Entry'!J11/'Data Entry'!J$6)), 0)</f>
        <v>36.358511837655016</v>
      </c>
    </row>
    <row r="9" spans="2:11" ht="15" customHeight="1" x14ac:dyDescent="0.25">
      <c r="B9" s="16" t="s">
        <v>13</v>
      </c>
      <c r="C9" s="1">
        <f>IF((C$3&gt;0),(1000*('Data Entry'!B12/'Data Entry'!B$6)), 0)</f>
        <v>6.1258278145695364</v>
      </c>
      <c r="D9" s="1">
        <f>IF((D$3&gt;0),(1000*('Data Entry'!C12/'Data Entry'!C$6)), 0)</f>
        <v>3.2817627754336613</v>
      </c>
      <c r="E9" s="1">
        <f>IF((E$3&gt;0),(1000*('Data Entry'!D12/'Data Entry'!D$6)), 0)</f>
        <v>13.196480938416423</v>
      </c>
      <c r="F9" s="1">
        <f>IF((F$3&gt;0),(1000*('Data Entry'!E12/'Data Entry'!E$6)), 0)</f>
        <v>4.7258979206049148</v>
      </c>
      <c r="G9" s="1">
        <f>IF((G$3&gt;0),(1000*('Data Entry'!F12/'Data Entry'!F$6)), 0)</f>
        <v>0</v>
      </c>
      <c r="H9" s="1">
        <f>IF((H$3&gt;0),(1000*('Data Entry'!G12/'Data Entry'!G$6)), 0)</f>
        <v>0</v>
      </c>
      <c r="I9" s="1">
        <f>IF((I$3&gt;0),(1000*('Data Entry'!H12/'Data Entry'!H$6)), 0)</f>
        <v>0</v>
      </c>
      <c r="J9" s="1">
        <f>IF((J$3&gt;0),(1000*('Data Entry'!I12/'Data Entry'!I$6)), 0)</f>
        <v>0</v>
      </c>
      <c r="K9" s="1">
        <f>IF((K$3&gt;0),(1000*('Data Entry'!J12/'Data Entry'!J$6)), 0)</f>
        <v>10.710259301014656</v>
      </c>
    </row>
    <row r="10" spans="2:11" ht="15" customHeight="1" x14ac:dyDescent="0.25">
      <c r="B10" s="16" t="s">
        <v>14</v>
      </c>
      <c r="C10" s="1">
        <f>IF((C$3&gt;0),(1000*('Data Entry'!B13/'Data Entry'!B$6)), 0)</f>
        <v>9.35430463576159</v>
      </c>
      <c r="D10" s="1">
        <f>IF((D$3&gt;0),(1000*('Data Entry'!C13/'Data Entry'!C$6)), 0)</f>
        <v>4.1022034692920766</v>
      </c>
      <c r="E10" s="1">
        <f>IF((E$3&gt;0),(1000*('Data Entry'!D13/'Data Entry'!D$6)), 0)</f>
        <v>19.550342130987293</v>
      </c>
      <c r="F10" s="1">
        <f>IF((F$3&gt;0),(1000*('Data Entry'!E13/'Data Entry'!E$6)), 0)</f>
        <v>6.616257088846881</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18.038331454340472</v>
      </c>
    </row>
    <row r="11" spans="2:11" ht="25.5" customHeight="1" x14ac:dyDescent="0.25">
      <c r="B11" s="16" t="s">
        <v>15</v>
      </c>
      <c r="C11" s="1">
        <f>IF((C$3&gt;0),(1000*('Data Entry'!B14/'Data Entry'!B$6)), 0)</f>
        <v>7.7814569536423841</v>
      </c>
      <c r="D11" s="1">
        <f>IF((D$3&gt;0),(1000*('Data Entry'!C14/'Data Entry'!C$6)), 0)</f>
        <v>3.3989685888420063</v>
      </c>
      <c r="E11" s="1">
        <f>IF((E$3&gt;0),(1000*('Data Entry'!D14/'Data Entry'!D$6)), 0)</f>
        <v>20.039100684261975</v>
      </c>
      <c r="F11" s="1">
        <f>IF((F$3&gt;0),(1000*('Data Entry'!E14/'Data Entry'!E$6)), 0)</f>
        <v>4.7258979206049148</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15.783540022547914</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Calhoun</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f t="shared" ref="D19:J19" si="1">IF(AND(($D4&gt;0),(E4&gt;0)), (E4/$D4),"--")</f>
        <v>3.127565982404692</v>
      </c>
      <c r="E19" s="72" t="str">
        <f t="shared" si="1"/>
        <v>--</v>
      </c>
      <c r="F19" s="72" t="str">
        <f t="shared" si="1"/>
        <v>--</v>
      </c>
      <c r="G19" s="72" t="str">
        <f t="shared" si="1"/>
        <v>--</v>
      </c>
      <c r="H19" s="72" t="str">
        <f t="shared" si="1"/>
        <v>--</v>
      </c>
      <c r="I19" s="72" t="str">
        <f t="shared" si="1"/>
        <v>--</v>
      </c>
      <c r="J19" s="73">
        <f t="shared" si="1"/>
        <v>1.8035512965050731</v>
      </c>
    </row>
    <row r="20" spans="2:10" ht="15" customHeight="1" x14ac:dyDescent="0.25">
      <c r="B20" s="71" t="s">
        <v>9</v>
      </c>
      <c r="C20" s="72">
        <f t="shared" ref="C20:J27" si="2">IF(AND(($D5&gt;0),(D5&gt;0)), (D5/$D5),"--")</f>
        <v>1</v>
      </c>
      <c r="D20" s="72">
        <f t="shared" si="2"/>
        <v>5.1749284528141892</v>
      </c>
      <c r="E20" s="72">
        <f t="shared" si="2"/>
        <v>0.77727924932243153</v>
      </c>
      <c r="F20" s="72">
        <f t="shared" si="2"/>
        <v>0.2928637627432808</v>
      </c>
      <c r="G20" s="72" t="str">
        <f t="shared" si="2"/>
        <v>--</v>
      </c>
      <c r="H20" s="72" t="str">
        <f t="shared" si="2"/>
        <v>--</v>
      </c>
      <c r="I20" s="72" t="str">
        <f t="shared" si="2"/>
        <v>--</v>
      </c>
      <c r="J20" s="73">
        <f t="shared" si="2"/>
        <v>3.9982341994811268</v>
      </c>
    </row>
    <row r="21" spans="2:10" ht="15" customHeight="1" x14ac:dyDescent="0.25">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f t="shared" si="2"/>
        <v>1</v>
      </c>
      <c r="D22" s="72">
        <f t="shared" si="2"/>
        <v>7.1898068561027406</v>
      </c>
      <c r="E22" s="72">
        <f t="shared" si="2"/>
        <v>1.3903917606414185</v>
      </c>
      <c r="F22" s="72" t="str">
        <f t="shared" si="2"/>
        <v>--</v>
      </c>
      <c r="G22" s="72" t="str">
        <f t="shared" si="2"/>
        <v>--</v>
      </c>
      <c r="H22" s="72" t="str">
        <f t="shared" si="2"/>
        <v>--</v>
      </c>
      <c r="I22" s="72" t="str">
        <f t="shared" si="2"/>
        <v>--</v>
      </c>
      <c r="J22" s="73">
        <f t="shared" si="2"/>
        <v>6.136220503051744</v>
      </c>
    </row>
    <row r="23" spans="2:10" ht="15" customHeight="1" x14ac:dyDescent="0.25">
      <c r="B23" s="71" t="s">
        <v>95</v>
      </c>
      <c r="C23" s="72">
        <f t="shared" si="2"/>
        <v>1</v>
      </c>
      <c r="D23" s="72">
        <f t="shared" si="2"/>
        <v>5.2126099706744871</v>
      </c>
      <c r="E23" s="72">
        <f t="shared" si="2"/>
        <v>0.84887075912844501</v>
      </c>
      <c r="F23" s="72">
        <f t="shared" si="2"/>
        <v>0.31983805668016196</v>
      </c>
      <c r="G23" s="72" t="str">
        <f t="shared" si="2"/>
        <v>--</v>
      </c>
      <c r="H23" s="72" t="str">
        <f t="shared" si="2"/>
        <v>--</v>
      </c>
      <c r="I23" s="72" t="str">
        <f t="shared" si="2"/>
        <v>--</v>
      </c>
      <c r="J23" s="73">
        <f t="shared" si="2"/>
        <v>4.081721355248324</v>
      </c>
    </row>
    <row r="24" spans="2:10" ht="15" customHeight="1" x14ac:dyDescent="0.25">
      <c r="B24" s="71" t="s">
        <v>13</v>
      </c>
      <c r="C24" s="72">
        <f t="shared" si="2"/>
        <v>1</v>
      </c>
      <c r="D24" s="72">
        <f t="shared" si="2"/>
        <v>4.021156263091747</v>
      </c>
      <c r="E24" s="72">
        <f t="shared" si="2"/>
        <v>1.4400486092357547</v>
      </c>
      <c r="F24" s="72" t="str">
        <f t="shared" si="2"/>
        <v>--</v>
      </c>
      <c r="G24" s="72" t="str">
        <f t="shared" si="2"/>
        <v>--</v>
      </c>
      <c r="H24" s="72" t="str">
        <f t="shared" si="2"/>
        <v>--</v>
      </c>
      <c r="I24" s="72" t="str">
        <f t="shared" si="2"/>
        <v>--</v>
      </c>
      <c r="J24" s="73">
        <f t="shared" si="2"/>
        <v>3.2635690127234658</v>
      </c>
    </row>
    <row r="25" spans="2:10" ht="15" customHeight="1" x14ac:dyDescent="0.25">
      <c r="B25" s="71" t="s">
        <v>14</v>
      </c>
      <c r="C25" s="72">
        <f t="shared" si="2"/>
        <v>1</v>
      </c>
      <c r="D25" s="72">
        <f t="shared" si="2"/>
        <v>4.7658148303309602</v>
      </c>
      <c r="E25" s="72">
        <f t="shared" si="2"/>
        <v>1.6128544423440456</v>
      </c>
      <c r="F25" s="72" t="str">
        <f t="shared" si="2"/>
        <v>--</v>
      </c>
      <c r="G25" s="72" t="str">
        <f t="shared" si="2"/>
        <v>--</v>
      </c>
      <c r="H25" s="72" t="str">
        <f t="shared" si="2"/>
        <v>--</v>
      </c>
      <c r="I25" s="72" t="str">
        <f t="shared" si="2"/>
        <v>--</v>
      </c>
      <c r="J25" s="73">
        <f t="shared" si="2"/>
        <v>4.3972298276695119</v>
      </c>
    </row>
    <row r="26" spans="2:10" ht="25.5" customHeight="1" x14ac:dyDescent="0.25">
      <c r="B26" s="71" t="s">
        <v>15</v>
      </c>
      <c r="C26" s="72">
        <f t="shared" si="2"/>
        <v>1</v>
      </c>
      <c r="D26" s="72">
        <f t="shared" si="2"/>
        <v>5.8956416220042476</v>
      </c>
      <c r="E26" s="72">
        <f t="shared" si="2"/>
        <v>1.3903917606414185</v>
      </c>
      <c r="F26" s="72" t="str">
        <f t="shared" si="2"/>
        <v>--</v>
      </c>
      <c r="G26" s="72" t="str">
        <f t="shared" si="2"/>
        <v>--</v>
      </c>
      <c r="H26" s="72" t="str">
        <f t="shared" si="2"/>
        <v>--</v>
      </c>
      <c r="I26" s="72" t="str">
        <f t="shared" si="2"/>
        <v>--</v>
      </c>
      <c r="J26" s="73">
        <f t="shared" si="2"/>
        <v>4.6436263266337523</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121</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Calhoun</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119</v>
      </c>
      <c r="C6" s="153" t="s">
        <v>117</v>
      </c>
      <c r="D6" s="154" t="s">
        <v>117</v>
      </c>
      <c r="E6" s="155" t="s">
        <v>118</v>
      </c>
      <c r="F6" s="154" t="s">
        <v>117</v>
      </c>
      <c r="G6" s="155" t="s">
        <v>118</v>
      </c>
      <c r="H6" s="154" t="s">
        <v>117</v>
      </c>
      <c r="I6" s="155" t="s">
        <v>118</v>
      </c>
      <c r="J6" s="154" t="s">
        <v>117</v>
      </c>
      <c r="K6" s="155" t="s">
        <v>118</v>
      </c>
      <c r="L6" s="154" t="s">
        <v>117</v>
      </c>
      <c r="M6" s="155" t="s">
        <v>118</v>
      </c>
      <c r="N6" s="154" t="s">
        <v>117</v>
      </c>
      <c r="O6" s="155" t="s">
        <v>118</v>
      </c>
      <c r="P6" s="154" t="s">
        <v>117</v>
      </c>
      <c r="Q6" s="156" t="s">
        <v>118</v>
      </c>
    </row>
    <row r="7" spans="2:26" s="135" customFormat="1" ht="18" customHeight="1" x14ac:dyDescent="0.3">
      <c r="B7" s="150" t="str">
        <f>'Data Entry'!A6</f>
        <v xml:space="preserve">1. Population at Risk (age 10 through 16) </v>
      </c>
      <c r="C7" s="104">
        <f>'Data Entry'!C6</f>
        <v>8532</v>
      </c>
      <c r="D7" s="105">
        <f>'Data Entry'!D6</f>
        <v>2046</v>
      </c>
      <c r="E7" s="106"/>
      <c r="F7" s="107">
        <f>'Data Entry'!E6</f>
        <v>1058</v>
      </c>
      <c r="G7" s="106"/>
      <c r="H7" s="107">
        <f>'Data Entry'!F6</f>
        <v>351</v>
      </c>
      <c r="I7" s="106"/>
      <c r="J7" s="107">
        <f>'Data Entry'!G6</f>
        <v>0</v>
      </c>
      <c r="K7" s="106"/>
      <c r="L7" s="107">
        <f>'Data Entry'!H6</f>
        <v>93</v>
      </c>
      <c r="M7" s="106"/>
      <c r="N7" s="107">
        <f>'Data Entry'!I6</f>
        <v>0</v>
      </c>
      <c r="O7" s="106"/>
      <c r="P7" s="107">
        <f>'Data Entry'!J6</f>
        <v>3548</v>
      </c>
      <c r="Q7" s="108"/>
    </row>
    <row r="8" spans="2:26" s="1" customFormat="1" ht="15" customHeight="1" x14ac:dyDescent="0.3">
      <c r="B8" s="149" t="s">
        <v>8</v>
      </c>
      <c r="C8" s="104">
        <f>'Data Entry'!C7</f>
        <v>4</v>
      </c>
      <c r="D8" s="105">
        <f>'Data Entry'!D7</f>
        <v>3</v>
      </c>
      <c r="E8" s="106" t="str">
        <f>'Black or African-American'!$G7</f>
        <v>**</v>
      </c>
      <c r="F8" s="107">
        <f>'Data Entry'!E7</f>
        <v>0</v>
      </c>
      <c r="G8" s="106" t="str">
        <f>Hispanic!G7</f>
        <v>**</v>
      </c>
      <c r="H8" s="107">
        <f>'Data Entry'!F7</f>
        <v>0</v>
      </c>
      <c r="I8" s="106" t="str">
        <f>Asian!G7</f>
        <v>**</v>
      </c>
      <c r="J8" s="107">
        <f>'Data Entry'!G7</f>
        <v>0</v>
      </c>
      <c r="K8" s="106" t="str">
        <f>Hawaiian!G7</f>
        <v>*</v>
      </c>
      <c r="L8" s="107">
        <f>'Data Entry'!H7</f>
        <v>0</v>
      </c>
      <c r="M8" s="106" t="str">
        <f>'Am Indian'!G7</f>
        <v>*</v>
      </c>
      <c r="N8" s="107">
        <f>'Data Entry'!I7</f>
        <v>0</v>
      </c>
      <c r="O8" s="106" t="str">
        <f>'Other - Mixed'!G7</f>
        <v>*</v>
      </c>
      <c r="P8" s="107">
        <f>'Data Entry'!J7</f>
        <v>3</v>
      </c>
      <c r="Q8" s="108" t="str">
        <f>'All Minorities'!G7</f>
        <v>**</v>
      </c>
      <c r="R8"/>
      <c r="T8" s="1">
        <f>'Black or African-American'!L7</f>
        <v>40</v>
      </c>
      <c r="U8" s="1">
        <f>Hispanic!L7</f>
        <v>40</v>
      </c>
      <c r="V8" s="1">
        <f>Asian!L7</f>
        <v>40</v>
      </c>
      <c r="W8" s="1" t="e">
        <f>Hawaiian!L7</f>
        <v>#VALUE!</v>
      </c>
      <c r="X8" s="1">
        <f>'Am Indian'!L7</f>
        <v>139</v>
      </c>
      <c r="Y8" s="1" t="e">
        <f>'Other - Mixed'!L7</f>
        <v>#VALUE!</v>
      </c>
      <c r="Z8" s="1">
        <f>'All Minorities'!L7</f>
        <v>40</v>
      </c>
    </row>
    <row r="9" spans="2:26" s="1" customFormat="1" ht="15" customHeight="1" x14ac:dyDescent="0.3">
      <c r="B9" s="149" t="s">
        <v>134</v>
      </c>
      <c r="C9" s="104">
        <f>'Data Entry'!C8</f>
        <v>83</v>
      </c>
      <c r="D9" s="109">
        <f>'Data Entry'!D8</f>
        <v>103</v>
      </c>
      <c r="E9" s="110" t="str">
        <f>'Black or African-American'!$G8</f>
        <v>**</v>
      </c>
      <c r="F9" s="111">
        <f>'Data Entry'!E8</f>
        <v>8</v>
      </c>
      <c r="G9" s="110" t="str">
        <f>Hispanic!G8</f>
        <v>**</v>
      </c>
      <c r="H9" s="111">
        <f>'Data Entry'!F8</f>
        <v>1</v>
      </c>
      <c r="I9" s="110" t="str">
        <f>Asian!G8</f>
        <v>**</v>
      </c>
      <c r="J9" s="111">
        <f>'Data Entry'!G8</f>
        <v>0</v>
      </c>
      <c r="K9" s="110" t="str">
        <f>Hawaiian!G8</f>
        <v>*</v>
      </c>
      <c r="L9" s="111">
        <f>'Data Entry'!H8</f>
        <v>0</v>
      </c>
      <c r="M9" s="110" t="str">
        <f>'Am Indian'!G8</f>
        <v>*</v>
      </c>
      <c r="N9" s="111">
        <f>'Data Entry'!I8</f>
        <v>26</v>
      </c>
      <c r="O9" s="110" t="str">
        <f>'Other - Mixed'!G8</f>
        <v>*</v>
      </c>
      <c r="P9" s="111">
        <f>'Data Entry'!J8</f>
        <v>138</v>
      </c>
      <c r="Q9" s="112" t="str">
        <f>'All Minorities'!G8</f>
        <v>**</v>
      </c>
      <c r="R9"/>
      <c r="T9" s="1">
        <f>'Black or African-American'!L8</f>
        <v>40</v>
      </c>
      <c r="U9" s="1">
        <f>Hispanic!L8</f>
        <v>40</v>
      </c>
      <c r="V9" s="1">
        <f>Asian!L8</f>
        <v>40</v>
      </c>
      <c r="W9" s="1">
        <f>Hawaiian!L8</f>
        <v>139</v>
      </c>
      <c r="X9" s="1">
        <f>'Am Indian'!L8</f>
        <v>139</v>
      </c>
      <c r="Y9" s="1">
        <f>'Other - Mixed'!L8</f>
        <v>119</v>
      </c>
      <c r="Z9" s="1">
        <f>'All Minorities'!L8</f>
        <v>40</v>
      </c>
    </row>
    <row r="10" spans="2:26" s="1" customFormat="1" ht="15" customHeight="1" x14ac:dyDescent="0.3">
      <c r="B10" s="149"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0</v>
      </c>
      <c r="Q10" s="116"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x14ac:dyDescent="0.3">
      <c r="B11" s="149" t="s">
        <v>11</v>
      </c>
      <c r="C11" s="104">
        <f>'Data Entry'!C10</f>
        <v>29</v>
      </c>
      <c r="D11" s="109">
        <f>'Data Entry'!D10</f>
        <v>50</v>
      </c>
      <c r="E11" s="110">
        <f>'Black or African-American'!$G10</f>
        <v>1.3893538667559422</v>
      </c>
      <c r="F11" s="111">
        <f>'Data Entry'!E10</f>
        <v>5</v>
      </c>
      <c r="G11" s="110" t="str">
        <f>Hispanic!G10</f>
        <v>**</v>
      </c>
      <c r="H11" s="111">
        <f>'Data Entry'!F10</f>
        <v>0</v>
      </c>
      <c r="I11" s="110" t="str">
        <f>Asian!G10</f>
        <v>**</v>
      </c>
      <c r="J11" s="111">
        <f>'Data Entry'!G10</f>
        <v>0</v>
      </c>
      <c r="K11" s="110" t="str">
        <f>Hawaiian!G10</f>
        <v>*</v>
      </c>
      <c r="L11" s="111">
        <f>'Data Entry'!H10</f>
        <v>0</v>
      </c>
      <c r="M11" s="110" t="str">
        <f>'Am Indian'!G10</f>
        <v>*</v>
      </c>
      <c r="N11" s="111">
        <f>'Data Entry'!I10</f>
        <v>19</v>
      </c>
      <c r="O11" s="110" t="str">
        <f>'Other - Mixed'!G10</f>
        <v>*</v>
      </c>
      <c r="P11" s="111">
        <f>'Data Entry'!J10</f>
        <v>74</v>
      </c>
      <c r="Q11" s="112">
        <f>'All Minorities'!G10</f>
        <v>1.5347326336831586</v>
      </c>
      <c r="R11"/>
      <c r="T11" s="1">
        <f>'Black or African-American'!L10</f>
        <v>2</v>
      </c>
      <c r="U11" s="1">
        <f>Hispanic!L10</f>
        <v>40</v>
      </c>
      <c r="V11" s="1">
        <f>Asian!L10</f>
        <v>40</v>
      </c>
      <c r="W11" s="1" t="e">
        <f>Hawaiian!L10</f>
        <v>#VALUE!</v>
      </c>
      <c r="X11" s="1" t="e">
        <f>'Am Indian'!L10</f>
        <v>#VALUE!</v>
      </c>
      <c r="Y11" s="1">
        <f>'Other - Mixed'!L10</f>
        <v>119</v>
      </c>
      <c r="Z11" s="1">
        <f>'All Minorities'!L10</f>
        <v>1</v>
      </c>
    </row>
    <row r="12" spans="2:26" s="1" customFormat="1" ht="15" customHeight="1" x14ac:dyDescent="0.3">
      <c r="B12" s="149" t="s">
        <v>95</v>
      </c>
      <c r="C12" s="104">
        <f>'Data Entry'!C11</f>
        <v>76</v>
      </c>
      <c r="D12" s="113">
        <f>'Data Entry'!D11</f>
        <v>95</v>
      </c>
      <c r="E12" s="114">
        <f>'Black or African-American'!$G11</f>
        <v>1.0072815533980584</v>
      </c>
      <c r="F12" s="115">
        <f>'Data Entry'!E11</f>
        <v>8</v>
      </c>
      <c r="G12" s="114" t="str">
        <f>Hispanic!G11</f>
        <v>**</v>
      </c>
      <c r="H12" s="115">
        <f>'Data Entry'!F11</f>
        <v>1</v>
      </c>
      <c r="I12" s="114" t="str">
        <f>Asian!G11</f>
        <v>**</v>
      </c>
      <c r="J12" s="115">
        <f>'Data Entry'!G11</f>
        <v>0</v>
      </c>
      <c r="K12" s="114" t="str">
        <f>Hawaiian!G11</f>
        <v>*</v>
      </c>
      <c r="L12" s="115">
        <f>'Data Entry'!H11</f>
        <v>0</v>
      </c>
      <c r="M12" s="114" t="str">
        <f>'Am Indian'!G11</f>
        <v>*</v>
      </c>
      <c r="N12" s="115">
        <f>'Data Entry'!I11</f>
        <v>25</v>
      </c>
      <c r="O12" s="114" t="str">
        <f>'Other - Mixed'!G11</f>
        <v>*</v>
      </c>
      <c r="P12" s="115">
        <f>'Data Entry'!J11</f>
        <v>129</v>
      </c>
      <c r="Q12" s="116">
        <f>'All Minorities'!G11</f>
        <v>1.0208810068649885</v>
      </c>
      <c r="R12"/>
      <c r="T12" s="1">
        <f>'Black or African-American'!L11</f>
        <v>2</v>
      </c>
      <c r="U12" s="1">
        <f>Hispanic!L11</f>
        <v>40</v>
      </c>
      <c r="V12" s="1">
        <f>Asian!L11</f>
        <v>40</v>
      </c>
      <c r="W12" s="1" t="e">
        <f>Hawaiian!L11</f>
        <v>#VALUE!</v>
      </c>
      <c r="X12" s="1" t="e">
        <f>'Am Indian'!L11</f>
        <v>#VALUE!</v>
      </c>
      <c r="Y12" s="1">
        <f>'Other - Mixed'!L11</f>
        <v>139</v>
      </c>
      <c r="Z12" s="1">
        <f>'All Minorities'!L11</f>
        <v>2</v>
      </c>
    </row>
    <row r="13" spans="2:26" s="1" customFormat="1" ht="15" customHeight="1" x14ac:dyDescent="0.3">
      <c r="B13" s="149" t="s">
        <v>13</v>
      </c>
      <c r="C13" s="104">
        <f>'Data Entry'!C12</f>
        <v>28</v>
      </c>
      <c r="D13" s="109">
        <f>'Data Entry'!D12</f>
        <v>27</v>
      </c>
      <c r="E13" s="110">
        <f>'Black or African-American'!$G12</f>
        <v>0.77142857142857146</v>
      </c>
      <c r="F13" s="111">
        <f>'Data Entry'!E12</f>
        <v>5</v>
      </c>
      <c r="G13" s="110" t="str">
        <f>Hispanic!G12</f>
        <v>**</v>
      </c>
      <c r="H13" s="111">
        <f>'Data Entry'!F12</f>
        <v>0</v>
      </c>
      <c r="I13" s="110" t="str">
        <f>Asian!G12</f>
        <v>**</v>
      </c>
      <c r="J13" s="111">
        <f>'Data Entry'!G12</f>
        <v>0</v>
      </c>
      <c r="K13" s="110" t="str">
        <f>Hawaiian!G12</f>
        <v>*</v>
      </c>
      <c r="L13" s="111">
        <f>'Data Entry'!H12</f>
        <v>0</v>
      </c>
      <c r="M13" s="110" t="str">
        <f>'Am Indian'!G12</f>
        <v>*</v>
      </c>
      <c r="N13" s="111">
        <f>'Data Entry'!I12</f>
        <v>6</v>
      </c>
      <c r="O13" s="110" t="str">
        <f>'Other - Mixed'!G12</f>
        <v>*</v>
      </c>
      <c r="P13" s="111">
        <f>'Data Entry'!J12</f>
        <v>38</v>
      </c>
      <c r="Q13" s="112">
        <f>'All Minorities'!G12</f>
        <v>0.7995570321151716</v>
      </c>
      <c r="R13"/>
      <c r="T13" s="1">
        <f>'Black or African-American'!L12</f>
        <v>2</v>
      </c>
      <c r="U13" s="1">
        <f>Hispanic!L12</f>
        <v>40</v>
      </c>
      <c r="V13" s="1">
        <f>Asian!L12</f>
        <v>40</v>
      </c>
      <c r="W13" s="1" t="e">
        <f>Hawaiian!L12</f>
        <v>#VALUE!</v>
      </c>
      <c r="X13" s="1" t="e">
        <f>'Am Indian'!L12</f>
        <v>#VALUE!</v>
      </c>
      <c r="Y13" s="1">
        <f>'Other - Mixed'!L12</f>
        <v>139</v>
      </c>
      <c r="Z13" s="1">
        <f>'All Minorities'!L12</f>
        <v>2</v>
      </c>
    </row>
    <row r="14" spans="2:26" s="1" customFormat="1" ht="15" customHeight="1" x14ac:dyDescent="0.3">
      <c r="B14" s="149" t="s">
        <v>133</v>
      </c>
      <c r="C14" s="104">
        <f>'Data Entry'!C13</f>
        <v>35</v>
      </c>
      <c r="D14" s="113">
        <f>'Data Entry'!D13</f>
        <v>40</v>
      </c>
      <c r="E14" s="114" t="str">
        <f>'Black or African-American'!$G13</f>
        <v>**</v>
      </c>
      <c r="F14" s="115">
        <f>'Data Entry'!E13</f>
        <v>7</v>
      </c>
      <c r="G14" s="114" t="str">
        <f>Hispanic!G13</f>
        <v>**</v>
      </c>
      <c r="H14" s="115">
        <f>'Data Entry'!F13</f>
        <v>0</v>
      </c>
      <c r="I14" s="114" t="str">
        <f>Asian!G13</f>
        <v>--</v>
      </c>
      <c r="J14" s="115">
        <f>'Data Entry'!G13</f>
        <v>0</v>
      </c>
      <c r="K14" s="114" t="str">
        <f>Hawaiian!G13</f>
        <v>*</v>
      </c>
      <c r="L14" s="115">
        <f>'Data Entry'!H13</f>
        <v>0</v>
      </c>
      <c r="M14" s="114" t="str">
        <f>'Am Indian'!G13</f>
        <v>*</v>
      </c>
      <c r="N14" s="115">
        <f>'Data Entry'!I13</f>
        <v>17</v>
      </c>
      <c r="O14" s="114" t="str">
        <f>'Other - Mixed'!G13</f>
        <v>*</v>
      </c>
      <c r="P14" s="115">
        <f>'Data Entry'!J13</f>
        <v>64</v>
      </c>
      <c r="Q14" s="116" t="str">
        <f>'All Minorities'!G13</f>
        <v>**</v>
      </c>
      <c r="R14"/>
      <c r="T14" s="1">
        <f>'Black or African-American'!L13</f>
        <v>40</v>
      </c>
      <c r="U14" s="1">
        <f>Hispanic!L13</f>
        <v>40</v>
      </c>
      <c r="V14" s="1" t="e">
        <f>Asian!L13</f>
        <v>#VALUE!</v>
      </c>
      <c r="W14" s="1" t="e">
        <f>Hawaiian!L13</f>
        <v>#VALUE!</v>
      </c>
      <c r="X14" s="1" t="e">
        <f>'Am Indian'!L13</f>
        <v>#VALUE!</v>
      </c>
      <c r="Y14" s="1">
        <f>'Other - Mixed'!L13</f>
        <v>119</v>
      </c>
      <c r="Z14" s="1">
        <f>'All Minorities'!L13</f>
        <v>20</v>
      </c>
    </row>
    <row r="15" spans="2:26" s="1" customFormat="1" ht="33" x14ac:dyDescent="0.3">
      <c r="B15" s="151" t="s">
        <v>123</v>
      </c>
      <c r="C15" s="104">
        <f>'Data Entry'!C14</f>
        <v>29</v>
      </c>
      <c r="D15" s="109">
        <f>'Data Entry'!D14</f>
        <v>41</v>
      </c>
      <c r="E15" s="110" t="str">
        <f>'Black or African-American'!$G14</f>
        <v>**</v>
      </c>
      <c r="F15" s="111">
        <f>'Data Entry'!E14</f>
        <v>5</v>
      </c>
      <c r="G15" s="110" t="str">
        <f>Hispanic!G14</f>
        <v>**</v>
      </c>
      <c r="H15" s="111">
        <f>'Data Entry'!F14</f>
        <v>0</v>
      </c>
      <c r="I15" s="110" t="str">
        <f>Asian!G14</f>
        <v>--</v>
      </c>
      <c r="J15" s="111">
        <f>'Data Entry'!G14</f>
        <v>0</v>
      </c>
      <c r="K15" s="110" t="str">
        <f>Hawaiian!G14</f>
        <v>*</v>
      </c>
      <c r="L15" s="111">
        <f>'Data Entry'!H14</f>
        <v>0</v>
      </c>
      <c r="M15" s="110" t="str">
        <f>'Am Indian'!G14</f>
        <v>*</v>
      </c>
      <c r="N15" s="111">
        <f>'Data Entry'!I14</f>
        <v>10</v>
      </c>
      <c r="O15" s="110" t="str">
        <f>'Other - Mixed'!G14</f>
        <v>*</v>
      </c>
      <c r="P15" s="111">
        <f>'Data Entry'!J14</f>
        <v>56</v>
      </c>
      <c r="Q15" s="112" t="str">
        <f>'All Minorities'!G14</f>
        <v>**</v>
      </c>
      <c r="R15"/>
      <c r="T15" s="1">
        <f>'Black or African-American'!L14</f>
        <v>20</v>
      </c>
      <c r="U15" s="1">
        <f>Hispanic!L14</f>
        <v>40</v>
      </c>
      <c r="V15" s="1" t="e">
        <f>Asian!L14</f>
        <v>#VALUE!</v>
      </c>
      <c r="W15" s="1" t="e">
        <f>Hawaiian!L14</f>
        <v>#VALUE!</v>
      </c>
      <c r="X15" s="1" t="e">
        <f>'Am Indian'!L14</f>
        <v>#VALUE!</v>
      </c>
      <c r="Y15" s="1">
        <f>'Other - Mixed'!L14</f>
        <v>119</v>
      </c>
      <c r="Z15" s="1">
        <f>'All Minorities'!L14</f>
        <v>20</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Yes</v>
      </c>
      <c r="J17" s="133"/>
      <c r="K17" s="146" t="str">
        <f>'Data Entry'!G16</f>
        <v>No</v>
      </c>
      <c r="L17" s="133"/>
      <c r="M17" s="146" t="str">
        <f>'Data Entry'!H16</f>
        <v>No</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128</v>
      </c>
      <c r="I19" s="139" t="s">
        <v>51</v>
      </c>
      <c r="J19" s="136"/>
      <c r="K19" s="136"/>
      <c r="L19" s="136"/>
      <c r="M19" s="136"/>
      <c r="N19" s="136"/>
      <c r="O19" s="137"/>
      <c r="P19" s="94"/>
      <c r="Q19" s="94"/>
    </row>
    <row r="20" spans="2:18" ht="16.5" x14ac:dyDescent="0.3">
      <c r="B20" s="94"/>
      <c r="C20" s="160" t="s">
        <v>125</v>
      </c>
      <c r="D20" s="166"/>
      <c r="E20" s="167"/>
      <c r="F20" s="168"/>
      <c r="G20" s="169" t="s">
        <v>53</v>
      </c>
      <c r="H20" s="166"/>
      <c r="I20" s="160" t="s">
        <v>56</v>
      </c>
      <c r="J20" s="166"/>
      <c r="K20" s="166"/>
      <c r="L20" s="166"/>
      <c r="M20" s="166"/>
      <c r="N20" s="166"/>
      <c r="O20" s="161" t="s">
        <v>57</v>
      </c>
      <c r="Q20" s="94"/>
    </row>
    <row r="21" spans="2:18" ht="15" customHeight="1" x14ac:dyDescent="0.3">
      <c r="B21" s="94"/>
      <c r="C21" s="162" t="s">
        <v>127</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State Court Administrative Office</v>
      </c>
      <c r="E27" s="1" t="str">
        <f>'Data Entry'!D20</f>
        <v>Item 4.Diversion: State Court Administrative Office</v>
      </c>
      <c r="I27" s="97"/>
      <c r="J27" s="97"/>
    </row>
    <row r="28" spans="2:18" ht="12.75" customHeight="1" x14ac:dyDescent="0.25">
      <c r="B28" s="1" t="str">
        <f>'Data Entry'!A21</f>
        <v>Item 5.Detention: State Court Administrative Office</v>
      </c>
      <c r="E28" s="1" t="str">
        <f>'Data Entry'!D21</f>
        <v>Item 6.Petitioned: State Court Administrative Office</v>
      </c>
      <c r="I28" s="97"/>
      <c r="J28" s="97"/>
    </row>
    <row r="29" spans="2:18" ht="12.75" customHeight="1" x14ac:dyDescent="0.25">
      <c r="B29" s="1" t="str">
        <f>'Data Entry'!A22</f>
        <v>Item 7.Delinquent: State Court Administrative Office</v>
      </c>
      <c r="E29" s="1" t="str">
        <f>'Data Entry'!D22</f>
        <v>Item 8.Probation: State Court Administrative Office</v>
      </c>
      <c r="I29" s="97"/>
      <c r="J29" s="97"/>
    </row>
    <row r="30" spans="2:18" ht="12.75" customHeight="1" x14ac:dyDescent="0.25">
      <c r="B30" s="1" t="str">
        <f>'Data Entry'!A23</f>
        <v>Item 9.Confinement: State Court Administrative Office</v>
      </c>
      <c r="E30" s="1" t="str">
        <f>'Data Entry'!D23</f>
        <v>Item 10.Transferred: State Court Administrative Office</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Calhoun</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Calhoun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130</v>
      </c>
      <c r="I6" s="97" t="str">
        <f>'Data Entry'!C5</f>
        <v>White</v>
      </c>
      <c r="K6" s="143" t="s">
        <v>131</v>
      </c>
      <c r="L6" s="143" t="s">
        <v>129</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2.4047350620067647</v>
      </c>
    </row>
    <row r="8" spans="1:12" ht="25.5" customHeight="1" x14ac:dyDescent="0.2">
      <c r="A8" s="158" t="str">
        <f>CONCATENATE("Confinement, total N=", 'Data Entry'!B14)</f>
        <v>Confinement, total N=94</v>
      </c>
      <c r="B8" s="157">
        <f>'Data Entry'!D14/'Data Entry'!B14</f>
        <v>0.43617021276595747</v>
      </c>
      <c r="C8" s="157">
        <f>'Data Entry'!E14/'Data Entry'!B14</f>
        <v>5.3191489361702128E-2</v>
      </c>
      <c r="D8" s="157">
        <f>'Data Entry'!F14/'Data Entry'!B14</f>
        <v>0</v>
      </c>
      <c r="E8" s="157">
        <f>'Data Entry'!G14/'Data Entry'!B14</f>
        <v>0</v>
      </c>
      <c r="F8" s="157">
        <f>'Data Entry'!H14/'Data Entry'!B14</f>
        <v>0</v>
      </c>
      <c r="G8" s="157">
        <f>'Data Entry'!I14/'Data Entry'!B14</f>
        <v>0.10638297872340426</v>
      </c>
      <c r="H8" s="157">
        <f>SUM(D8:G8)/'Data Entry'!B14</f>
        <v>1.1317338162064282E-3</v>
      </c>
      <c r="I8" s="157">
        <f>'Data Entry'!C14/'Data Entry'!B14</f>
        <v>0.30851063829787234</v>
      </c>
      <c r="K8" s="97" t="str">
        <f>A8</f>
        <v>Confinement, total N=94</v>
      </c>
      <c r="L8">
        <f>I14/(SUM(B14:G14))</f>
        <v>2.4047350620067647</v>
      </c>
    </row>
    <row r="9" spans="1:12" x14ac:dyDescent="0.2">
      <c r="A9" s="132" t="str">
        <f>CONCATENATE("Delinquent Findings, total N=", 'Data Entry'!B12)</f>
        <v>Delinquent Findings, total N=74</v>
      </c>
      <c r="B9" s="157">
        <f>'Data Entry'!D12/'Data Entry'!B12</f>
        <v>0.36486486486486486</v>
      </c>
      <c r="C9" s="157">
        <f>'Data Entry'!E12/'Data Entry'!B12</f>
        <v>6.7567567567567571E-2</v>
      </c>
      <c r="D9" s="157">
        <f>'Data Entry'!F12/'Data Entry'!B12</f>
        <v>0</v>
      </c>
      <c r="E9" s="157">
        <f>'Data Entry'!G12/'Data Entry'!B12</f>
        <v>0</v>
      </c>
      <c r="F9" s="157">
        <f>'Data Entry'!H12/'Data Entry'!B12</f>
        <v>0</v>
      </c>
      <c r="G9" s="157">
        <f>'Data Entry'!I12/'Data Entry'!B12</f>
        <v>8.1081081081081086E-2</v>
      </c>
      <c r="H9" s="157">
        <f>SUM(D9:G9)/'Data Entry'!B12</f>
        <v>1.095690284879474E-3</v>
      </c>
      <c r="I9" s="157">
        <f>'Data Entry'!C12/'Data Entry'!B12</f>
        <v>0.3783783783783784</v>
      </c>
      <c r="K9" s="97" t="str">
        <f t="shared" si="0"/>
        <v>Delinquent Findings, total N=74</v>
      </c>
      <c r="L9">
        <f>I14/(SUM(B14:G14))</f>
        <v>2.4047350620067647</v>
      </c>
    </row>
    <row r="10" spans="1:12" x14ac:dyDescent="0.2">
      <c r="A10" s="132" t="str">
        <f>CONCATENATE("Petitions, total N=", 'Data Entry'!B11)</f>
        <v>Petitions, total N=227</v>
      </c>
      <c r="B10" s="157">
        <f>'Data Entry'!D11/'Data Entry'!B11</f>
        <v>0.41850220264317178</v>
      </c>
      <c r="C10" s="157">
        <f>'Data Entry'!E11/'Data Entry'!B11</f>
        <v>3.5242290748898682E-2</v>
      </c>
      <c r="D10" s="157">
        <f>'Data Entry'!F11/'Data Entry'!B11</f>
        <v>4.4052863436123352E-3</v>
      </c>
      <c r="E10" s="157">
        <f>'Data Entry'!G11/'Data Entry'!B11</f>
        <v>0</v>
      </c>
      <c r="F10" s="157">
        <f>'Data Entry'!H11/'Data Entry'!B11</f>
        <v>0</v>
      </c>
      <c r="G10" s="157">
        <f>'Data Entry'!I11/'Data Entry'!B11</f>
        <v>0.11013215859030837</v>
      </c>
      <c r="H10" s="157">
        <f>SUM(D10:G10)/'Data Entry'!B11</f>
        <v>5.0457024199965065E-4</v>
      </c>
      <c r="I10" s="157">
        <f>'Data Entry'!C11/'Data Entry'!B11</f>
        <v>0.33480176211453744</v>
      </c>
      <c r="K10" s="97" t="str">
        <f t="shared" si="0"/>
        <v>Petitions, total N=227</v>
      </c>
      <c r="L10">
        <f>I14/(SUM(B14:G14))</f>
        <v>2.4047350620067647</v>
      </c>
    </row>
    <row r="11" spans="1:12" x14ac:dyDescent="0.2">
      <c r="A11" s="132" t="str">
        <f>CONCATENATE("Detentions, total N=", 'Data Entry'!B10)</f>
        <v>Detentions, total N=116</v>
      </c>
      <c r="B11" s="157">
        <f>'Data Entry'!D10/'Data Entry'!B10</f>
        <v>0.43103448275862066</v>
      </c>
      <c r="C11" s="157">
        <f>'Data Entry'!E10/'Data Entry'!B10</f>
        <v>4.3103448275862072E-2</v>
      </c>
      <c r="D11" s="157">
        <f>'Data Entry'!F10/'Data Entry'!B10</f>
        <v>0</v>
      </c>
      <c r="E11" s="157">
        <f>'Data Entry'!G10/'Data Entry'!B10</f>
        <v>0</v>
      </c>
      <c r="F11" s="157">
        <f>'Data Entry'!H10/'Data Entry'!B10</f>
        <v>0</v>
      </c>
      <c r="G11" s="157">
        <f>'Data Entry'!I10/'Data Entry'!B10</f>
        <v>0.16379310344827586</v>
      </c>
      <c r="H11" s="157">
        <f>SUM(D11:G11)/'Data Entry'!B10</f>
        <v>1.4120095124851367E-3</v>
      </c>
      <c r="I11" s="157">
        <f>'Data Entry'!C10/'Data Entry'!B10</f>
        <v>0.25</v>
      </c>
      <c r="K11" s="97" t="str">
        <f t="shared" si="0"/>
        <v>Detentions, total N=116</v>
      </c>
      <c r="L11">
        <f>I14/(SUM(B14:G14))</f>
        <v>2.4047350620067647</v>
      </c>
    </row>
    <row r="12" spans="1:12" x14ac:dyDescent="0.2">
      <c r="A12" s="132" t="str">
        <f>CONCATENATE("Referrals, total N=", 'Data Entry'!B8)</f>
        <v>Referrals, total N=246</v>
      </c>
      <c r="B12" s="157">
        <f>'Data Entry'!D8/'Data Entry'!B8</f>
        <v>0.41869918699186992</v>
      </c>
      <c r="C12" s="157">
        <f>'Data Entry'!E8/'Data Entry'!B8</f>
        <v>3.2520325203252036E-2</v>
      </c>
      <c r="D12" s="157">
        <f>'Data Entry'!F8/'Data Entry'!B8</f>
        <v>4.0650406504065045E-3</v>
      </c>
      <c r="E12" s="157">
        <f>'Data Entry'!G8/'Data Entry'!B8</f>
        <v>0</v>
      </c>
      <c r="F12" s="157">
        <f>'Data Entry'!H8/'Data Entry'!B8</f>
        <v>0</v>
      </c>
      <c r="G12" s="157">
        <f>'Data Entry'!I8/'Data Entry'!B8</f>
        <v>0.10569105691056911</v>
      </c>
      <c r="H12" s="157">
        <f>SUM(D12:G12)/'Data Entry'!B8</f>
        <v>4.46162998215348E-4</v>
      </c>
      <c r="I12" s="157">
        <f>'Data Entry'!C8/'Data Entry'!B8</f>
        <v>0.33739837398373984</v>
      </c>
      <c r="K12" s="97" t="str">
        <f t="shared" si="0"/>
        <v>Referrals, total N=246</v>
      </c>
      <c r="L12">
        <f>I14/(SUM(B14:G14))</f>
        <v>2.4047350620067647</v>
      </c>
    </row>
    <row r="13" spans="1:12" x14ac:dyDescent="0.2">
      <c r="A13" s="132" t="str">
        <f>CONCATENATE("Arrests, total N=", 'Data Entry'!B7)</f>
        <v>Arrests, total N=7</v>
      </c>
      <c r="B13" s="157">
        <f>'Data Entry'!D7/'Data Entry'!B7</f>
        <v>0.42857142857142855</v>
      </c>
      <c r="C13" s="157">
        <f>'Data Entry'!E7/'Data Entry'!B7</f>
        <v>0</v>
      </c>
      <c r="D13" s="157">
        <f>'Data Entry'!F7/'Data Entry'!B7</f>
        <v>0</v>
      </c>
      <c r="E13" s="157">
        <f>'Data Entry'!G7/'Data Entry'!B7</f>
        <v>0</v>
      </c>
      <c r="F13" s="157">
        <f>'Data Entry'!H7/'Data Entry'!B7</f>
        <v>0</v>
      </c>
      <c r="G13" s="157">
        <f>'Data Entry'!I7/'Data Entry'!B7</f>
        <v>0</v>
      </c>
      <c r="H13" s="157">
        <f>SUM(D13:G13)/'Data Entry'!B7</f>
        <v>0</v>
      </c>
      <c r="I13" s="157">
        <f>'Data Entry'!C7/'Data Entry'!B7</f>
        <v>0.5714285714285714</v>
      </c>
      <c r="K13" s="97" t="str">
        <f t="shared" si="0"/>
        <v>Arrests, total N=7</v>
      </c>
      <c r="L13">
        <f>I14/(SUM(B14:G14))</f>
        <v>2.4047350620067647</v>
      </c>
    </row>
    <row r="14" spans="1:12" x14ac:dyDescent="0.2">
      <c r="A14" s="132" t="str">
        <f>CONCATENATE("Population, total N=", 'Data Entry'!B6)</f>
        <v>Population, total N=12080</v>
      </c>
      <c r="B14" s="157">
        <f>'Data Entry'!D6/'Data Entry'!B6</f>
        <v>0.16937086092715231</v>
      </c>
      <c r="C14" s="157">
        <f>'Data Entry'!E6/'Data Entry'!B6</f>
        <v>8.758278145695364E-2</v>
      </c>
      <c r="D14" s="157">
        <f>'Data Entry'!F6/'Data Entry'!B6</f>
        <v>2.9056291390728475E-2</v>
      </c>
      <c r="E14" s="157">
        <f>'Data Entry'!G6/'Data Entry'!B6</f>
        <v>0</v>
      </c>
      <c r="F14" s="157">
        <f>'Data Entry'!H6/'Data Entry'!B6</f>
        <v>7.6986754966887417E-3</v>
      </c>
      <c r="G14" s="157">
        <f>'Data Entry'!I6/'Data Entry'!B6</f>
        <v>0</v>
      </c>
      <c r="H14" s="157">
        <f>SUM(D14:G14)/'Data Entry'!B6</f>
        <v>3.0426297092232796E-6</v>
      </c>
      <c r="I14" s="157">
        <f>'Data Entry'!C6/'Data Entry'!B6</f>
        <v>0.7062913907284768</v>
      </c>
      <c r="K14" s="97" t="str">
        <f t="shared" si="0"/>
        <v>Population, total N=12080</v>
      </c>
      <c r="L14">
        <f>I14/(SUM(B14:G14))</f>
        <v>2.4047350620067647</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121</v>
      </c>
      <c r="C2" s="180"/>
      <c r="D2" s="180"/>
      <c r="E2" s="180"/>
      <c r="F2" s="180"/>
      <c r="G2" s="180"/>
      <c r="H2" s="180"/>
      <c r="I2" s="180"/>
      <c r="J2" s="180"/>
      <c r="K2" s="181"/>
    </row>
    <row r="3" spans="2:30" s="1" customFormat="1" ht="19.5" thickTop="1" x14ac:dyDescent="0.35">
      <c r="B3" s="98" t="str">
        <f>'Data Entry'!A2</f>
        <v>State: Michigan</v>
      </c>
      <c r="C3" s="122"/>
      <c r="D3" s="122"/>
      <c r="H3" s="194" t="str">
        <f>'Data Entry'!C3</f>
        <v xml:space="preserve">Reporting Period:  </v>
      </c>
      <c r="I3" s="195"/>
      <c r="J3" s="195"/>
      <c r="K3" s="196"/>
    </row>
    <row r="4" spans="2:30" s="1" customFormat="1" ht="19.5" thickBot="1" x14ac:dyDescent="0.4">
      <c r="B4" s="102" t="str">
        <f>'Data Entry'!A3</f>
        <v>County: Calhoun</v>
      </c>
      <c r="C4" s="121"/>
      <c r="D4" s="121"/>
      <c r="E4" s="124"/>
      <c r="F4" s="124"/>
      <c r="G4" s="124"/>
      <c r="H4" s="184" t="str">
        <f>'Data Entry'!C4</f>
        <v>10/1/20 through 9/30/21</v>
      </c>
      <c r="I4" s="197"/>
      <c r="J4" s="197"/>
      <c r="K4" s="198"/>
    </row>
    <row r="5" spans="2:30" s="123" customFormat="1" ht="69" customHeight="1" x14ac:dyDescent="0.35">
      <c r="B5" s="100"/>
      <c r="C5" s="101" t="s">
        <v>3</v>
      </c>
      <c r="D5" s="191" t="str">
        <f>'Black or African-American'!$F$1</f>
        <v>Black or African American</v>
      </c>
      <c r="E5" s="192"/>
      <c r="F5" s="191" t="str">
        <f>Hispanic!F1</f>
        <v>Hispanic or Latino</v>
      </c>
      <c r="G5" s="192"/>
      <c r="H5" s="191" t="str">
        <f>Asian!F1</f>
        <v>Asian</v>
      </c>
      <c r="I5" s="192"/>
      <c r="J5" s="191" t="str">
        <f>'Data Entry'!J5</f>
        <v>All Minorities</v>
      </c>
      <c r="K5" s="193"/>
      <c r="N5" s="69"/>
      <c r="O5" s="69"/>
      <c r="P5" s="69"/>
      <c r="Q5" s="69"/>
    </row>
    <row r="6" spans="2:30" s="123" customFormat="1" ht="18" customHeight="1" x14ac:dyDescent="0.35">
      <c r="B6" s="159" t="s">
        <v>119</v>
      </c>
      <c r="C6" s="126" t="s">
        <v>117</v>
      </c>
      <c r="D6" s="127" t="s">
        <v>117</v>
      </c>
      <c r="E6" s="128" t="s">
        <v>118</v>
      </c>
      <c r="F6" s="127" t="s">
        <v>117</v>
      </c>
      <c r="G6" s="128" t="s">
        <v>118</v>
      </c>
      <c r="H6" s="127" t="s">
        <v>117</v>
      </c>
      <c r="I6" s="128" t="s">
        <v>118</v>
      </c>
      <c r="J6" s="127" t="s">
        <v>117</v>
      </c>
      <c r="K6" s="129" t="s">
        <v>118</v>
      </c>
    </row>
    <row r="7" spans="2:30" s="135" customFormat="1" ht="18" customHeight="1" x14ac:dyDescent="0.3">
      <c r="B7" s="148" t="str">
        <f>'Data Entry'!A6</f>
        <v xml:space="preserve">1. Population at Risk (age 10 through 16) </v>
      </c>
      <c r="C7" s="104">
        <f>'Data Entry'!C6</f>
        <v>8532</v>
      </c>
      <c r="D7" s="105">
        <f>'Data Entry'!D6</f>
        <v>2046</v>
      </c>
      <c r="E7" s="106"/>
      <c r="F7" s="107">
        <f>'Data Entry'!E6</f>
        <v>1058</v>
      </c>
      <c r="G7" s="106"/>
      <c r="H7" s="107">
        <f>'Data Entry'!F6</f>
        <v>351</v>
      </c>
      <c r="I7" s="106"/>
      <c r="J7" s="107">
        <f>'Data Entry'!J6</f>
        <v>3548</v>
      </c>
      <c r="K7" s="108"/>
    </row>
    <row r="8" spans="2:30" s="1" customFormat="1" ht="15" customHeight="1" x14ac:dyDescent="0.3">
      <c r="B8" s="125" t="s">
        <v>8</v>
      </c>
      <c r="C8" s="104">
        <f>'Data Entry'!C7</f>
        <v>4</v>
      </c>
      <c r="D8" s="105">
        <f>'Data Entry'!D7</f>
        <v>3</v>
      </c>
      <c r="E8" s="106" t="str">
        <f>'Black or African-American'!$G7</f>
        <v>**</v>
      </c>
      <c r="F8" s="107">
        <f>'Data Entry'!E7</f>
        <v>0</v>
      </c>
      <c r="G8" s="106" t="str">
        <f>Hispanic!G7</f>
        <v>**</v>
      </c>
      <c r="H8" s="107">
        <f>'Data Entry'!F7</f>
        <v>0</v>
      </c>
      <c r="I8" s="106" t="str">
        <f>Asian!G7</f>
        <v>**</v>
      </c>
      <c r="J8" s="107">
        <f>'Data Entry'!J7</f>
        <v>3</v>
      </c>
      <c r="K8" s="108" t="str">
        <f>'All Minorities'!G7</f>
        <v>**</v>
      </c>
      <c r="L8"/>
      <c r="N8" s="1">
        <f>'Black or African-American'!L7</f>
        <v>40</v>
      </c>
      <c r="O8" s="1">
        <f>Hispanic!L7</f>
        <v>40</v>
      </c>
      <c r="P8" s="1">
        <f>Asian!L7</f>
        <v>40</v>
      </c>
      <c r="Q8" s="1" t="e">
        <f>Hawaiian!L7</f>
        <v>#VALUE!</v>
      </c>
      <c r="R8" s="1">
        <f>'Am Indian'!L7</f>
        <v>139</v>
      </c>
      <c r="S8" s="1" t="e">
        <f>'Other - Mixed'!L7</f>
        <v>#VALUE!</v>
      </c>
      <c r="T8" s="1">
        <f>'All Minorities'!L7</f>
        <v>40</v>
      </c>
    </row>
    <row r="9" spans="2:30" s="1" customFormat="1" ht="15" customHeight="1" x14ac:dyDescent="0.3">
      <c r="B9" s="125" t="s">
        <v>134</v>
      </c>
      <c r="C9" s="104">
        <f>'Data Entry'!C8</f>
        <v>83</v>
      </c>
      <c r="D9" s="109">
        <f>'Data Entry'!D8</f>
        <v>103</v>
      </c>
      <c r="E9" s="110" t="str">
        <f>'Black or African-American'!$G8</f>
        <v>**</v>
      </c>
      <c r="F9" s="111">
        <f>'Data Entry'!E8</f>
        <v>8</v>
      </c>
      <c r="G9" s="110" t="str">
        <f>Hispanic!G8</f>
        <v>**</v>
      </c>
      <c r="H9" s="111">
        <f>'Data Entry'!F8</f>
        <v>1</v>
      </c>
      <c r="I9" s="110" t="str">
        <f>Asian!G8</f>
        <v>**</v>
      </c>
      <c r="J9" s="111">
        <f>'Data Entry'!J8</f>
        <v>138</v>
      </c>
      <c r="K9" s="112" t="str">
        <f>'All Minorities'!G8</f>
        <v>**</v>
      </c>
      <c r="L9"/>
      <c r="N9" s="1">
        <f>'Black or African-American'!L8</f>
        <v>40</v>
      </c>
      <c r="O9" s="1">
        <f>Hispanic!L8</f>
        <v>40</v>
      </c>
      <c r="P9" s="1">
        <f>Asian!L8</f>
        <v>40</v>
      </c>
      <c r="Q9" s="1">
        <f>Hawaiian!L8</f>
        <v>139</v>
      </c>
      <c r="R9" s="1">
        <f>'Am Indian'!L8</f>
        <v>139</v>
      </c>
      <c r="S9" s="1">
        <f>'Other - Mixed'!L8</f>
        <v>119</v>
      </c>
      <c r="T9" s="1">
        <f>'All Minorities'!L8</f>
        <v>40</v>
      </c>
    </row>
    <row r="10" spans="2:30" s="1" customFormat="1" ht="15" customHeight="1" x14ac:dyDescent="0.3">
      <c r="B10" s="125"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Entry'!J9</f>
        <v>0</v>
      </c>
      <c r="K10" s="116"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x14ac:dyDescent="0.3">
      <c r="B11" s="125" t="s">
        <v>11</v>
      </c>
      <c r="C11" s="104">
        <f>'Data Entry'!C10</f>
        <v>29</v>
      </c>
      <c r="D11" s="109">
        <f>'Data Entry'!D10</f>
        <v>50</v>
      </c>
      <c r="E11" s="110">
        <f>'Black or African-American'!$G10</f>
        <v>1.3893538667559422</v>
      </c>
      <c r="F11" s="111">
        <f>'Data Entry'!E10</f>
        <v>5</v>
      </c>
      <c r="G11" s="110" t="str">
        <f>Hispanic!G10</f>
        <v>**</v>
      </c>
      <c r="H11" s="111">
        <f>'Data Entry'!F10</f>
        <v>0</v>
      </c>
      <c r="I11" s="110" t="str">
        <f>Asian!G10</f>
        <v>**</v>
      </c>
      <c r="J11" s="111">
        <f>'Data Entry'!J10</f>
        <v>74</v>
      </c>
      <c r="K11" s="112">
        <f>'All Minorities'!G10</f>
        <v>1.5347326336831586</v>
      </c>
      <c r="L11"/>
      <c r="N11" s="1">
        <f>'Black or African-American'!L10</f>
        <v>2</v>
      </c>
      <c r="O11" s="1">
        <f>Hispanic!L10</f>
        <v>40</v>
      </c>
      <c r="P11" s="1">
        <f>Asian!L10</f>
        <v>40</v>
      </c>
      <c r="Q11" s="1" t="e">
        <f>Hawaiian!L10</f>
        <v>#VALUE!</v>
      </c>
      <c r="R11" s="1" t="e">
        <f>'Am Indian'!L10</f>
        <v>#VALUE!</v>
      </c>
      <c r="S11" s="1">
        <f>'Other - Mixed'!L10</f>
        <v>119</v>
      </c>
      <c r="T11" s="1">
        <f>'All Minorities'!L10</f>
        <v>1</v>
      </c>
    </row>
    <row r="12" spans="2:30" s="1" customFormat="1" ht="15" customHeight="1" x14ac:dyDescent="0.3">
      <c r="B12" s="125" t="s">
        <v>95</v>
      </c>
      <c r="C12" s="104">
        <f>'Data Entry'!C11</f>
        <v>76</v>
      </c>
      <c r="D12" s="113">
        <f>'Data Entry'!D11</f>
        <v>95</v>
      </c>
      <c r="E12" s="114">
        <f>'Black or African-American'!$G11</f>
        <v>1.0072815533980584</v>
      </c>
      <c r="F12" s="115">
        <f>'Data Entry'!E11</f>
        <v>8</v>
      </c>
      <c r="G12" s="114" t="str">
        <f>Hispanic!G11</f>
        <v>**</v>
      </c>
      <c r="H12" s="115">
        <f>'Data Entry'!F11</f>
        <v>1</v>
      </c>
      <c r="I12" s="114" t="str">
        <f>Asian!G11</f>
        <v>**</v>
      </c>
      <c r="J12" s="115">
        <f>'Data Entry'!J11</f>
        <v>129</v>
      </c>
      <c r="K12" s="116">
        <f>'All Minorities'!G11</f>
        <v>1.0208810068649885</v>
      </c>
      <c r="L12"/>
      <c r="N12" s="1">
        <f>'Black or African-American'!L11</f>
        <v>2</v>
      </c>
      <c r="O12" s="1">
        <f>Hispanic!L11</f>
        <v>40</v>
      </c>
      <c r="P12" s="1">
        <f>Asian!L11</f>
        <v>40</v>
      </c>
      <c r="Q12" s="1" t="e">
        <f>Hawaiian!L11</f>
        <v>#VALUE!</v>
      </c>
      <c r="R12" s="1" t="e">
        <f>'Am Indian'!L11</f>
        <v>#VALUE!</v>
      </c>
      <c r="S12" s="1">
        <f>'Other - Mixed'!L11</f>
        <v>139</v>
      </c>
      <c r="T12" s="1">
        <f>'All Minorities'!L11</f>
        <v>2</v>
      </c>
    </row>
    <row r="13" spans="2:30" s="1" customFormat="1" ht="15" customHeight="1" x14ac:dyDescent="0.3">
      <c r="B13" s="125" t="s">
        <v>13</v>
      </c>
      <c r="C13" s="104">
        <f>'Data Entry'!C12</f>
        <v>28</v>
      </c>
      <c r="D13" s="109">
        <f>'Data Entry'!D12</f>
        <v>27</v>
      </c>
      <c r="E13" s="110">
        <f>'Black or African-American'!$G12</f>
        <v>0.77142857142857146</v>
      </c>
      <c r="F13" s="111">
        <f>'Data Entry'!E12</f>
        <v>5</v>
      </c>
      <c r="G13" s="110" t="str">
        <f>Hispanic!G12</f>
        <v>**</v>
      </c>
      <c r="H13" s="111">
        <f>'Data Entry'!F12</f>
        <v>0</v>
      </c>
      <c r="I13" s="110" t="str">
        <f>Asian!G12</f>
        <v>**</v>
      </c>
      <c r="J13" s="111">
        <f>'Data Entry'!J12</f>
        <v>38</v>
      </c>
      <c r="K13" s="112">
        <f>'All Minorities'!G12</f>
        <v>0.7995570321151716</v>
      </c>
      <c r="L13"/>
      <c r="N13" s="1">
        <f>'Black or African-American'!L12</f>
        <v>2</v>
      </c>
      <c r="O13" s="1">
        <f>Hispanic!L12</f>
        <v>40</v>
      </c>
      <c r="P13" s="1">
        <f>Asian!L12</f>
        <v>40</v>
      </c>
      <c r="Q13" s="1" t="e">
        <f>Hawaiian!L12</f>
        <v>#VALUE!</v>
      </c>
      <c r="R13" s="1" t="e">
        <f>'Am Indian'!L12</f>
        <v>#VALUE!</v>
      </c>
      <c r="S13" s="1">
        <f>'Other - Mixed'!L12</f>
        <v>139</v>
      </c>
      <c r="T13" s="1">
        <f>'All Minorities'!L12</f>
        <v>2</v>
      </c>
      <c r="W13" s="135"/>
      <c r="X13" s="135"/>
      <c r="Y13" s="135"/>
      <c r="Z13" s="135"/>
      <c r="AA13" s="135"/>
      <c r="AB13" s="135"/>
      <c r="AC13" s="135"/>
      <c r="AD13" s="135"/>
    </row>
    <row r="14" spans="2:30" s="1" customFormat="1" ht="15" customHeight="1" x14ac:dyDescent="0.3">
      <c r="B14" s="125" t="s">
        <v>14</v>
      </c>
      <c r="C14" s="104">
        <f>'Data Entry'!C13</f>
        <v>35</v>
      </c>
      <c r="D14" s="113">
        <f>'Data Entry'!D13</f>
        <v>40</v>
      </c>
      <c r="E14" s="114" t="str">
        <f>'Black or African-American'!$G13</f>
        <v>**</v>
      </c>
      <c r="F14" s="115">
        <f>'Data Entry'!E13</f>
        <v>7</v>
      </c>
      <c r="G14" s="114" t="str">
        <f>Hispanic!G13</f>
        <v>**</v>
      </c>
      <c r="H14" s="115">
        <f>'Data Entry'!F13</f>
        <v>0</v>
      </c>
      <c r="I14" s="114" t="str">
        <f>Asian!G13</f>
        <v>--</v>
      </c>
      <c r="J14" s="115">
        <f>'Data Entry'!J13</f>
        <v>64</v>
      </c>
      <c r="K14" s="116" t="str">
        <f>'All Minorities'!G13</f>
        <v>**</v>
      </c>
      <c r="L14"/>
      <c r="N14" s="1">
        <f>'Black or African-American'!L13</f>
        <v>40</v>
      </c>
      <c r="O14" s="1">
        <f>Hispanic!L13</f>
        <v>40</v>
      </c>
      <c r="P14" s="1" t="e">
        <f>Asian!L13</f>
        <v>#VALUE!</v>
      </c>
      <c r="Q14" s="1" t="e">
        <f>Hawaiian!L13</f>
        <v>#VALUE!</v>
      </c>
      <c r="R14" s="1" t="e">
        <f>'Am Indian'!L13</f>
        <v>#VALUE!</v>
      </c>
      <c r="S14" s="1">
        <f>'Other - Mixed'!L13</f>
        <v>119</v>
      </c>
      <c r="T14" s="1">
        <f>'All Minorities'!L13</f>
        <v>20</v>
      </c>
      <c r="W14" s="135"/>
      <c r="X14" s="135"/>
      <c r="Y14" s="135"/>
      <c r="Z14" s="135"/>
      <c r="AA14" s="135"/>
      <c r="AB14" s="135"/>
      <c r="AC14" s="135"/>
      <c r="AD14" s="135"/>
    </row>
    <row r="15" spans="2:30" s="1" customFormat="1" ht="33" x14ac:dyDescent="0.3">
      <c r="B15" s="130" t="s">
        <v>123</v>
      </c>
      <c r="C15" s="104">
        <f>'Data Entry'!C14</f>
        <v>29</v>
      </c>
      <c r="D15" s="109">
        <f>'Data Entry'!D14</f>
        <v>41</v>
      </c>
      <c r="E15" s="110" t="str">
        <f>'Black or African-American'!$G14</f>
        <v>**</v>
      </c>
      <c r="F15" s="111">
        <f>'Data Entry'!E14</f>
        <v>5</v>
      </c>
      <c r="G15" s="110" t="str">
        <f>Hispanic!G14</f>
        <v>**</v>
      </c>
      <c r="H15" s="111">
        <f>'Data Entry'!F14</f>
        <v>0</v>
      </c>
      <c r="I15" s="110" t="str">
        <f>Asian!G14</f>
        <v>--</v>
      </c>
      <c r="J15" s="111">
        <f>'Data Entry'!J14</f>
        <v>56</v>
      </c>
      <c r="K15" s="112" t="str">
        <f>'All Minorities'!G14</f>
        <v>**</v>
      </c>
      <c r="L15"/>
      <c r="N15" s="1">
        <f>'Black or African-American'!L14</f>
        <v>20</v>
      </c>
      <c r="O15" s="1">
        <f>Hispanic!L14</f>
        <v>40</v>
      </c>
      <c r="P15" s="1" t="e">
        <f>Asian!L14</f>
        <v>#VALUE!</v>
      </c>
      <c r="Q15" s="1" t="e">
        <f>Hawaiian!L14</f>
        <v>#VALUE!</v>
      </c>
      <c r="R15" s="1" t="e">
        <f>'Am Indian'!L14</f>
        <v>#VALUE!</v>
      </c>
      <c r="S15" s="1">
        <f>'Other - Mixed'!L14</f>
        <v>119</v>
      </c>
      <c r="T15" s="1">
        <f>'All Minorities'!L14</f>
        <v>20</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Yes</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207" t="s">
        <v>120</v>
      </c>
      <c r="C19" s="208"/>
      <c r="D19" s="208"/>
      <c r="E19" s="208"/>
      <c r="F19" s="208"/>
      <c r="G19" s="208"/>
      <c r="H19" s="208"/>
      <c r="I19" s="209"/>
      <c r="J19" s="210"/>
      <c r="K19" s="211"/>
    </row>
    <row r="20" spans="2:30" ht="15.75" x14ac:dyDescent="0.3">
      <c r="B20" s="160" t="s">
        <v>125</v>
      </c>
      <c r="C20" s="215" t="s">
        <v>53</v>
      </c>
      <c r="D20" s="216"/>
      <c r="E20" s="199" t="s">
        <v>56</v>
      </c>
      <c r="F20" s="200"/>
      <c r="G20" s="200"/>
      <c r="H20" s="200"/>
      <c r="I20" s="200"/>
      <c r="J20" s="200"/>
      <c r="K20" s="161" t="s">
        <v>57</v>
      </c>
    </row>
    <row r="21" spans="2:30" ht="15" customHeight="1" x14ac:dyDescent="0.3">
      <c r="B21" s="162" t="s">
        <v>126</v>
      </c>
      <c r="C21" s="201" t="s">
        <v>55</v>
      </c>
      <c r="D21" s="202"/>
      <c r="E21" s="203" t="s">
        <v>58</v>
      </c>
      <c r="F21" s="204"/>
      <c r="G21" s="204"/>
      <c r="H21" s="204"/>
      <c r="I21" s="204"/>
      <c r="J21" s="204"/>
      <c r="K21" s="163" t="s">
        <v>59</v>
      </c>
    </row>
    <row r="22" spans="2:30" ht="15" customHeight="1" thickBot="1" x14ac:dyDescent="0.35">
      <c r="B22" s="212"/>
      <c r="C22" s="213"/>
      <c r="D22" s="214"/>
      <c r="E22" s="205" t="s">
        <v>60</v>
      </c>
      <c r="F22" s="206"/>
      <c r="G22" s="206"/>
      <c r="H22" s="206"/>
      <c r="I22" s="206"/>
      <c r="J22" s="206"/>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State Court Administrative Office</v>
      </c>
      <c r="E27" s="1" t="str">
        <f>'Data Entry'!D20</f>
        <v>Item 4.Diversion: State Court Administrative Office</v>
      </c>
      <c r="I27" s="97"/>
    </row>
    <row r="28" spans="2:30" ht="12.75" customHeight="1" x14ac:dyDescent="0.25">
      <c r="B28" s="1" t="str">
        <f>'Data Entry'!A21</f>
        <v>Item 5.Detention: State Court Administrative Office</v>
      </c>
      <c r="E28" s="1" t="str">
        <f>'Data Entry'!D21</f>
        <v>Item 6.Petitioned: State Court Administrative Office</v>
      </c>
      <c r="I28" s="97"/>
    </row>
    <row r="29" spans="2:30" ht="12.75" customHeight="1" x14ac:dyDescent="0.25">
      <c r="B29" s="1" t="str">
        <f>'Data Entry'!A22</f>
        <v>Item 7.Delinquent: State Court Administrative Office</v>
      </c>
      <c r="E29" s="1" t="str">
        <f>'Data Entry'!D22</f>
        <v>Item 8.Probation: State Court Administrative Office</v>
      </c>
      <c r="I29" s="97"/>
    </row>
    <row r="30" spans="2:30" ht="12.75" customHeight="1" x14ac:dyDescent="0.25">
      <c r="B30" s="1" t="str">
        <f>'Data Entry'!A23</f>
        <v>Item 9.Confinement: State Court Administrative Office</v>
      </c>
      <c r="E30" s="1" t="str">
        <f>'Data Entry'!D23</f>
        <v>Item 10.Transferred: State Court Administrative Office</v>
      </c>
      <c r="I30" s="97"/>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Calhoun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8532</v>
      </c>
      <c r="D6" s="34"/>
      <c r="E6" s="33">
        <f>'Data Entry'!D6</f>
        <v>2046</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4</v>
      </c>
      <c r="D7" s="34">
        <f>IF((AND(C66&gt;0,C7&gt;0)),(C7/C66),0)</f>
        <v>0.46882325363338023</v>
      </c>
      <c r="E7" s="33">
        <f>'Data Entry'!D7</f>
        <v>3</v>
      </c>
      <c r="F7" s="34">
        <f>IF((AND($E$7&gt;0,$D$66&gt;0)),($E$7/$D$66),0)</f>
        <v>1.466275659824047</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3</v>
      </c>
      <c r="O7" s="42">
        <f>E6-E7</f>
        <v>2043</v>
      </c>
      <c r="P7" s="42">
        <f t="shared" ref="P7:P15" si="2">C7</f>
        <v>4</v>
      </c>
      <c r="Q7" s="42">
        <f>C6-C7</f>
        <v>8528</v>
      </c>
      <c r="R7" s="42">
        <f t="shared" ref="R7:R15" si="3">SUM(N7:Q7)</f>
        <v>10578</v>
      </c>
      <c r="S7" s="30">
        <f t="shared" ref="S7:S15" si="4">R7*((((N7*Q7)-(O7*P7))^2))</f>
        <v>3207014176032</v>
      </c>
      <c r="T7" s="30">
        <f t="shared" ref="T7:T15" si="5">(N7+O7)*(P7+Q7)*(N7+P7)*(O7+Q7)</f>
        <v>1291726558584</v>
      </c>
      <c r="U7" s="31">
        <f t="shared" ref="U7:U15" si="6">IF((S7&gt;0),S7/T7,"- -")</f>
        <v>2.4827345653925024</v>
      </c>
    </row>
    <row r="8" spans="2:21" ht="18" customHeight="1" x14ac:dyDescent="0.25">
      <c r="B8" s="32" t="str">
        <f>'Data Entry'!A8</f>
        <v>3. Refer to Juvenile Court</v>
      </c>
      <c r="C8" s="33">
        <f>'Data Entry'!C8</f>
        <v>83</v>
      </c>
      <c r="D8" s="34">
        <f>IF((AND(C67&gt;0,C8&gt;0)),(C8/C67),0)</f>
        <v>2075</v>
      </c>
      <c r="E8" s="33">
        <f>'Data Entry'!D8</f>
        <v>103</v>
      </c>
      <c r="F8" s="34">
        <f>IF((AND($E$8&gt;0,$D$67&gt;0)),($E8/$D67),0)</f>
        <v>3433.3333333333335</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103</v>
      </c>
      <c r="O8" s="42">
        <f>((D67*L67)-E8)+0.05</f>
        <v>-99.95</v>
      </c>
      <c r="P8" s="42">
        <f t="shared" si="2"/>
        <v>83</v>
      </c>
      <c r="Q8" s="42">
        <f>(C$67*L67)-C8</f>
        <v>-79</v>
      </c>
      <c r="R8" s="42">
        <f t="shared" si="3"/>
        <v>7.0499999999999972</v>
      </c>
      <c r="S8" s="30">
        <f t="shared" si="4"/>
        <v>177894.92362500072</v>
      </c>
      <c r="T8" s="30">
        <f t="shared" si="5"/>
        <v>-406073.33999999962</v>
      </c>
      <c r="U8" s="31">
        <f t="shared" si="6"/>
        <v>-0.43808570054119017</v>
      </c>
    </row>
    <row r="9" spans="2:21" ht="18" customHeight="1" x14ac:dyDescent="0.25">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103</v>
      </c>
      <c r="P9" s="42">
        <f t="shared" si="2"/>
        <v>0</v>
      </c>
      <c r="Q9" s="42">
        <f>(C$68*L68)-C9</f>
        <v>83</v>
      </c>
      <c r="R9" s="42">
        <f t="shared" si="3"/>
        <v>186</v>
      </c>
      <c r="S9" s="30">
        <f t="shared" si="4"/>
        <v>0</v>
      </c>
      <c r="T9" s="30">
        <f t="shared" si="5"/>
        <v>0</v>
      </c>
      <c r="U9" s="31" t="str">
        <f t="shared" si="6"/>
        <v>- -</v>
      </c>
    </row>
    <row r="10" spans="2:21" ht="18" customHeight="1" x14ac:dyDescent="0.25">
      <c r="B10" s="32" t="str">
        <f>'Data Entry'!A10</f>
        <v>5. Cases Involving Secure Detention</v>
      </c>
      <c r="C10" s="33">
        <f>'Data Entry'!C10</f>
        <v>29</v>
      </c>
      <c r="D10" s="34">
        <f>IF(((AND(C68&gt;0,C10&gt;0))),(C10/(C68)),0)</f>
        <v>34.939759036144579</v>
      </c>
      <c r="E10" s="33">
        <f>'Data Entry'!D10</f>
        <v>50</v>
      </c>
      <c r="F10" s="34">
        <f>IF(((AND($E$10&gt;0,$D$68&gt;0))),($E$10/($D$68)),0)</f>
        <v>48.543689320388346</v>
      </c>
      <c r="G10" s="39">
        <f t="shared" si="7"/>
        <v>1.3893538667559422</v>
      </c>
      <c r="H10" s="40"/>
      <c r="I10" s="41"/>
      <c r="J10" s="40">
        <f>IF((ABS($U10)&gt;Defaults!D$7),1,2)</f>
        <v>2</v>
      </c>
      <c r="K10" s="39">
        <f>IF((AND(N10&gt;Defaults!B$12,(N10+O10)&gt;Defaults!B$13, P10 &gt; Defaults!B$12, (P10+Q10) &gt; Defaults!B$13)),1,20)</f>
        <v>1</v>
      </c>
      <c r="L10" s="1">
        <f t="shared" si="8"/>
        <v>2</v>
      </c>
      <c r="M10" s="1" t="b">
        <f t="shared" si="0"/>
        <v>1</v>
      </c>
      <c r="N10" s="42">
        <f t="shared" si="1"/>
        <v>50</v>
      </c>
      <c r="O10" s="42">
        <f>(D$68*L68)-E10</f>
        <v>53</v>
      </c>
      <c r="P10" s="42">
        <f t="shared" si="2"/>
        <v>29</v>
      </c>
      <c r="Q10" s="42">
        <f>(C$68*L68)-C10</f>
        <v>54</v>
      </c>
      <c r="R10" s="42">
        <f t="shared" si="3"/>
        <v>186</v>
      </c>
      <c r="S10" s="30">
        <f t="shared" si="4"/>
        <v>251577834</v>
      </c>
      <c r="T10" s="30">
        <f t="shared" si="5"/>
        <v>72264697</v>
      </c>
      <c r="U10" s="31">
        <f t="shared" si="6"/>
        <v>3.4813379761351522</v>
      </c>
    </row>
    <row r="11" spans="2:21" ht="18" customHeight="1" x14ac:dyDescent="0.25">
      <c r="B11" s="32" t="str">
        <f>'Data Entry'!A11</f>
        <v>6. Cases Petitioned (Charge Filed)</v>
      </c>
      <c r="C11" s="33">
        <f>'Data Entry'!C11</f>
        <v>76</v>
      </c>
      <c r="D11" s="34">
        <f>IF(((AND(C68&gt;0,C11&gt;0))),(C11/(C68)),0)</f>
        <v>91.566265060240966</v>
      </c>
      <c r="E11" s="33">
        <f>'Data Entry'!D11</f>
        <v>95</v>
      </c>
      <c r="F11" s="34">
        <f>IF(((AND($E$11&gt;0,$D$68&gt;0))),($E$11/($D$68)),0)</f>
        <v>92.233009708737868</v>
      </c>
      <c r="G11" s="39">
        <f t="shared" si="7"/>
        <v>1.0072815533980584</v>
      </c>
      <c r="H11" s="40"/>
      <c r="I11" s="41"/>
      <c r="J11" s="40">
        <f>IF((ABS($U11)&gt;Defaults!D$7),1,2)</f>
        <v>2</v>
      </c>
      <c r="K11" s="39">
        <f>IF((AND(N11&gt;Defaults!B$12,(N11+O11)&gt;Defaults!B$13, P11 &gt; Defaults!B$12, (P11+Q11) &gt; Defaults!B$13)),1,20)</f>
        <v>1</v>
      </c>
      <c r="L11" s="1">
        <f t="shared" si="8"/>
        <v>2</v>
      </c>
      <c r="M11" s="1" t="b">
        <f t="shared" si="0"/>
        <v>1</v>
      </c>
      <c r="N11" s="42">
        <f t="shared" si="1"/>
        <v>95</v>
      </c>
      <c r="O11" s="42">
        <f>(D$68*L68)-E11</f>
        <v>8</v>
      </c>
      <c r="P11" s="42">
        <f t="shared" si="2"/>
        <v>76</v>
      </c>
      <c r="Q11" s="42">
        <f>(C$68*L68)-C11</f>
        <v>7</v>
      </c>
      <c r="R11" s="42">
        <f t="shared" si="3"/>
        <v>186</v>
      </c>
      <c r="S11" s="30">
        <f t="shared" si="4"/>
        <v>604314</v>
      </c>
      <c r="T11" s="30">
        <f t="shared" si="5"/>
        <v>21928185</v>
      </c>
      <c r="U11" s="31">
        <f t="shared" si="6"/>
        <v>2.7558778804538542E-2</v>
      </c>
    </row>
    <row r="12" spans="2:21" ht="18" customHeight="1" x14ac:dyDescent="0.25">
      <c r="B12" s="32" t="str">
        <f>'Data Entry'!A12</f>
        <v>7. Cases Resulting in Delinquent Findings</v>
      </c>
      <c r="C12" s="33">
        <f>'Data Entry'!C12</f>
        <v>28</v>
      </c>
      <c r="D12" s="34">
        <f>IF(((AND(C69&gt;0,C12&gt;0))),(C12/(C69)),0)</f>
        <v>36.842105263157897</v>
      </c>
      <c r="E12" s="33">
        <f>'Data Entry'!D12</f>
        <v>27</v>
      </c>
      <c r="F12" s="34">
        <f>IF(((AND($D$69&gt;0,$E$12&gt;0))),(E12/(D69)),0)</f>
        <v>28.421052631578949</v>
      </c>
      <c r="G12" s="39">
        <f t="shared" si="7"/>
        <v>0.77142857142857146</v>
      </c>
      <c r="H12" s="40"/>
      <c r="I12" s="41"/>
      <c r="J12" s="40">
        <f>IF((ABS($U12)&gt;Defaults!D$7),1,2)</f>
        <v>2</v>
      </c>
      <c r="K12" s="39">
        <f>IF((AND(N12&gt;Defaults!B$12,(N12+O12)&gt;Defaults!B$13, P12 &gt; Defaults!B$12, (P12+Q12) &gt; Defaults!B$13)),1,20)</f>
        <v>1</v>
      </c>
      <c r="L12" s="1">
        <f t="shared" si="8"/>
        <v>2</v>
      </c>
      <c r="M12" s="1" t="b">
        <f t="shared" si="0"/>
        <v>1</v>
      </c>
      <c r="N12" s="42">
        <f t="shared" si="1"/>
        <v>27</v>
      </c>
      <c r="O12" s="42">
        <f>(D69*L69)-E12</f>
        <v>68</v>
      </c>
      <c r="P12" s="42">
        <f t="shared" si="2"/>
        <v>28</v>
      </c>
      <c r="Q12" s="42">
        <f>(C69*L69)-C12</f>
        <v>48</v>
      </c>
      <c r="R12" s="42">
        <f t="shared" si="3"/>
        <v>171</v>
      </c>
      <c r="S12" s="30">
        <f t="shared" si="4"/>
        <v>63212544</v>
      </c>
      <c r="T12" s="30">
        <f t="shared" si="5"/>
        <v>46063600</v>
      </c>
      <c r="U12" s="31">
        <f t="shared" si="6"/>
        <v>1.3722884012539185</v>
      </c>
    </row>
    <row r="13" spans="2:21" ht="18" customHeight="1" x14ac:dyDescent="0.25">
      <c r="B13" s="32" t="str">
        <f>'Data Entry'!A13</f>
        <v>8. Cases Resulting in Probation Placement</v>
      </c>
      <c r="C13" s="33">
        <f>'Data Entry'!C13</f>
        <v>35</v>
      </c>
      <c r="D13" s="34">
        <f>IF(((AND(C70&gt;0,C13&gt;0))),(C13/(C70)),0)</f>
        <v>124.99999999999999</v>
      </c>
      <c r="E13" s="33">
        <f>'Data Entry'!D13</f>
        <v>40</v>
      </c>
      <c r="F13" s="34">
        <f>IF(((AND($D$70&gt;0,$E$13&gt;0))),($E$13/($D$70)),0)</f>
        <v>148.14814814814815</v>
      </c>
      <c r="G13" s="39" t="str">
        <f t="shared" si="7"/>
        <v>**</v>
      </c>
      <c r="H13" s="40"/>
      <c r="I13" s="41"/>
      <c r="J13" s="40">
        <f>IF((ABS($U13)&gt;Defaults!D$7),1,2)</f>
        <v>2</v>
      </c>
      <c r="K13" s="39">
        <f>IF((AND(N13&gt;Defaults!B$12,(N13+O13)&gt;Defaults!B$13, P13 &gt; Defaults!B$12, (P13+Q13) &gt; Defaults!B$13)),1,20)</f>
        <v>20</v>
      </c>
      <c r="L13" s="1">
        <f t="shared" si="8"/>
        <v>40</v>
      </c>
      <c r="M13" s="1" t="b">
        <f t="shared" si="0"/>
        <v>1</v>
      </c>
      <c r="N13" s="42">
        <f t="shared" si="1"/>
        <v>40</v>
      </c>
      <c r="O13" s="42">
        <f>(D70*L70)-E13</f>
        <v>-13</v>
      </c>
      <c r="P13" s="42">
        <f t="shared" si="2"/>
        <v>35</v>
      </c>
      <c r="Q13" s="42">
        <f>(C70*L70)-C13</f>
        <v>-6.9999999999999964</v>
      </c>
      <c r="R13" s="42">
        <f t="shared" si="3"/>
        <v>55</v>
      </c>
      <c r="S13" s="30">
        <f t="shared" si="4"/>
        <v>1684375.0000000021</v>
      </c>
      <c r="T13" s="30">
        <f t="shared" si="5"/>
        <v>-1134000</v>
      </c>
      <c r="U13" s="31">
        <f t="shared" si="6"/>
        <v>-1.4853395061728414</v>
      </c>
    </row>
    <row r="14" spans="2:21" ht="30.75" customHeight="1" x14ac:dyDescent="0.25">
      <c r="B14" s="32" t="str">
        <f>'Data Entry'!A14</f>
        <v xml:space="preserve">9. Cases Resulting in Confinement in Secure Juvenile Correctional Facilities </v>
      </c>
      <c r="C14" s="33">
        <f>'Data Entry'!C14</f>
        <v>29</v>
      </c>
      <c r="D14" s="34">
        <f>IF(((AND(C70&gt;0,C14&gt;0))), ((C14/(C70))),0)</f>
        <v>103.57142857142856</v>
      </c>
      <c r="E14" s="33">
        <f>'Data Entry'!D14</f>
        <v>41</v>
      </c>
      <c r="F14" s="34">
        <f>IF(((AND($D$70&gt;0,$E$14&gt;0))), (($E$14/($D$70))),0)</f>
        <v>151.85185185185185</v>
      </c>
      <c r="G14" s="39" t="str">
        <f t="shared" si="7"/>
        <v>**</v>
      </c>
      <c r="H14" s="40"/>
      <c r="I14" s="41"/>
      <c r="J14" s="40">
        <f>IF((ABS($U14)&gt;Defaults!D$7),1,2)</f>
        <v>1</v>
      </c>
      <c r="K14" s="39">
        <f>IF((AND(N14&gt;Defaults!B$12,(N14+O14)&gt;Defaults!B$13, P14 &gt; Defaults!B$12, (P14+Q14) &gt; Defaults!B$13)),1,20)</f>
        <v>20</v>
      </c>
      <c r="L14" s="1">
        <f t="shared" si="8"/>
        <v>20</v>
      </c>
      <c r="M14" s="1" t="b">
        <f t="shared" si="0"/>
        <v>1</v>
      </c>
      <c r="N14" s="42">
        <f t="shared" si="1"/>
        <v>41</v>
      </c>
      <c r="O14" s="42">
        <f>(D70*L70)-E14</f>
        <v>-14</v>
      </c>
      <c r="P14" s="42">
        <f t="shared" si="2"/>
        <v>29</v>
      </c>
      <c r="Q14" s="42">
        <f>(C70*L70)-C14</f>
        <v>-0.99999999999999645</v>
      </c>
      <c r="R14" s="42">
        <f t="shared" si="3"/>
        <v>55</v>
      </c>
      <c r="S14" s="30">
        <f t="shared" si="4"/>
        <v>7327375.0000000047</v>
      </c>
      <c r="T14" s="30">
        <f t="shared" si="5"/>
        <v>-793799.99999999988</v>
      </c>
      <c r="U14" s="31">
        <f t="shared" si="6"/>
        <v>-9.2307571176618861</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95</v>
      </c>
      <c r="P15" s="42">
        <f t="shared" si="2"/>
        <v>0</v>
      </c>
      <c r="Q15" s="42">
        <f>(C69*L69)-C15</f>
        <v>76</v>
      </c>
      <c r="R15" s="42">
        <f t="shared" si="3"/>
        <v>171</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8.532</v>
      </c>
      <c r="D42" s="56">
        <f>E6/1000</f>
        <v>2.0459999999999998</v>
      </c>
      <c r="E42" s="56">
        <f>MAX(C42:D42)</f>
        <v>8.532</v>
      </c>
      <c r="G42" s="1" t="str">
        <f>B42</f>
        <v>per 1000 youth</v>
      </c>
      <c r="L42" s="57">
        <v>1000</v>
      </c>
      <c r="M42" s="57"/>
      <c r="R42" s="49"/>
    </row>
    <row r="43" spans="2:18" ht="15" hidden="1" customHeight="1" x14ac:dyDescent="0.25">
      <c r="B43" s="49" t="s">
        <v>87</v>
      </c>
      <c r="C43" s="56">
        <f>C7/100</f>
        <v>0.04</v>
      </c>
      <c r="D43" s="56">
        <f>E7/100</f>
        <v>0.03</v>
      </c>
      <c r="E43" s="56">
        <f>MAX(C43:D43,0)</f>
        <v>0.04</v>
      </c>
      <c r="G43" s="1" t="str">
        <f>B43</f>
        <v>per 100 arrests</v>
      </c>
      <c r="L43" s="57">
        <v>100</v>
      </c>
      <c r="M43" s="57"/>
      <c r="R43" s="49"/>
    </row>
    <row r="44" spans="2:18" ht="15" hidden="1" customHeight="1" x14ac:dyDescent="0.25">
      <c r="B44" s="49" t="s">
        <v>88</v>
      </c>
      <c r="C44" s="56">
        <f>C8/100</f>
        <v>0.83</v>
      </c>
      <c r="D44" s="56">
        <f>E8/100</f>
        <v>1.03</v>
      </c>
      <c r="E44" s="56">
        <f>MAX(C44:D44,0)</f>
        <v>1.03</v>
      </c>
      <c r="G44" s="1" t="str">
        <f>B44</f>
        <v>per 100 referrals</v>
      </c>
      <c r="L44" s="57">
        <v>100</v>
      </c>
      <c r="M44" s="57"/>
      <c r="R44" s="49"/>
    </row>
    <row r="45" spans="2:18" ht="15" hidden="1" customHeight="1" x14ac:dyDescent="0.25">
      <c r="B45" s="49" t="s">
        <v>89</v>
      </c>
      <c r="C45" s="49">
        <f>C11/100</f>
        <v>0.76</v>
      </c>
      <c r="D45" s="49">
        <f>E11/100</f>
        <v>0.95</v>
      </c>
      <c r="E45" s="56">
        <f>MAX(C45:D45,0)</f>
        <v>0.95</v>
      </c>
      <c r="G45" s="1" t="str">
        <f>B45</f>
        <v>per 100 youth petitioned</v>
      </c>
      <c r="L45" s="57">
        <v>100</v>
      </c>
      <c r="M45" s="57"/>
      <c r="R45" s="49"/>
    </row>
    <row r="46" spans="2:18" ht="15" hidden="1" customHeight="1" x14ac:dyDescent="0.25">
      <c r="B46" s="49" t="s">
        <v>90</v>
      </c>
      <c r="C46" s="49">
        <f>C12/100</f>
        <v>0.28000000000000003</v>
      </c>
      <c r="D46" s="49">
        <f>E12/100</f>
        <v>0.27</v>
      </c>
      <c r="E46" s="56">
        <f>MAX(C46:D46)</f>
        <v>0.28000000000000003</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8.532</v>
      </c>
      <c r="D48" s="56">
        <f>D42</f>
        <v>2.0459999999999998</v>
      </c>
      <c r="E48" s="56">
        <f>MAX(C48:D48)</f>
        <v>8.532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0.04</v>
      </c>
      <c r="D49" s="49">
        <f t="shared" si="9"/>
        <v>0.03</v>
      </c>
      <c r="E49" s="49">
        <f>MAX(C49:D49)</f>
        <v>0.04</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0.83</v>
      </c>
      <c r="D50" s="49">
        <f t="shared" si="9"/>
        <v>1.03</v>
      </c>
      <c r="E50" s="49">
        <f>MAX(C50:D50)</f>
        <v>1.03</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0.76</v>
      </c>
      <c r="D51" s="49">
        <f>IF(($E45&gt;0),D45,D44)</f>
        <v>0.95</v>
      </c>
      <c r="E51" s="49">
        <f>MAX(C51:D51)</f>
        <v>0.95</v>
      </c>
      <c r="G51" s="1" t="str">
        <f>G45</f>
        <v>per 100 youth petitioned</v>
      </c>
      <c r="L51" s="58">
        <f>IF(($E45&gt;0),L45,L44)</f>
        <v>100</v>
      </c>
      <c r="M51" s="58"/>
    </row>
    <row r="52" spans="2:18" ht="15" hidden="1" customHeight="1" x14ac:dyDescent="0.25">
      <c r="B52" s="49" t="str">
        <f>IF(($E46&gt;0),B46,B45)</f>
        <v>per 100 youth found delinquent</v>
      </c>
      <c r="C52" s="49">
        <f>IF(($E46&gt;0),C46,C45)</f>
        <v>0.28000000000000003</v>
      </c>
      <c r="D52" s="49">
        <f>IF(($E46&gt;0),D46,D45)</f>
        <v>0.27</v>
      </c>
      <c r="E52" s="56">
        <f>MAX(C52:D52)</f>
        <v>0.28000000000000003</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8.532</v>
      </c>
      <c r="D54" s="56">
        <f>D48</f>
        <v>2.0459999999999998</v>
      </c>
      <c r="E54" s="56">
        <f>MAX(C54:D54)</f>
        <v>8.532</v>
      </c>
      <c r="G54" s="1" t="str">
        <f>G48</f>
        <v>per 1000 youth</v>
      </c>
      <c r="L54" s="58">
        <f>L48</f>
        <v>1000</v>
      </c>
      <c r="M54" s="58"/>
    </row>
    <row r="55" spans="2:18" ht="15" hidden="1" customHeight="1" x14ac:dyDescent="0.25">
      <c r="B55" s="49" t="str">
        <f t="shared" ref="B55:D56" si="10">IF(($E49&gt;0),B49,B48)</f>
        <v>per 100 arrests</v>
      </c>
      <c r="C55" s="49">
        <f t="shared" si="10"/>
        <v>0.04</v>
      </c>
      <c r="D55" s="49">
        <f t="shared" si="10"/>
        <v>0.03</v>
      </c>
      <c r="E55" s="49">
        <f>MAX(C55:D55)</f>
        <v>0.04</v>
      </c>
      <c r="G55" s="1" t="str">
        <f>G49</f>
        <v>per 100 arrests</v>
      </c>
      <c r="L55" s="58">
        <f>IF(($E49&gt;0),L49,L48)</f>
        <v>100</v>
      </c>
      <c r="M55" s="58"/>
    </row>
    <row r="56" spans="2:18" ht="15" hidden="1" customHeight="1" x14ac:dyDescent="0.25">
      <c r="B56" s="49" t="str">
        <f t="shared" si="10"/>
        <v>per 100 referrals</v>
      </c>
      <c r="C56" s="49">
        <f t="shared" si="10"/>
        <v>0.83</v>
      </c>
      <c r="D56" s="49">
        <f t="shared" si="10"/>
        <v>1.03</v>
      </c>
      <c r="E56" s="49">
        <f>MAX(C56:D56)</f>
        <v>1.03</v>
      </c>
      <c r="G56" s="1" t="str">
        <f>G50</f>
        <v>per 100 referrals</v>
      </c>
      <c r="L56" s="58">
        <f>IF(($E50&gt;0),L50,L49)</f>
        <v>100</v>
      </c>
      <c r="M56" s="58"/>
    </row>
    <row r="57" spans="2:18" ht="15" hidden="1" customHeight="1" x14ac:dyDescent="0.25">
      <c r="B57" s="49" t="str">
        <f>IF(($E51&gt;0),B51,B49)</f>
        <v>per 100 youth petitioned</v>
      </c>
      <c r="C57" s="49">
        <f>IF(($E51&gt;0),C51,C50)</f>
        <v>0.76</v>
      </c>
      <c r="D57" s="49">
        <f>IF(($E51&gt;0),D51,D50)</f>
        <v>0.95</v>
      </c>
      <c r="E57" s="49">
        <f>MAX(C57:D57)</f>
        <v>0.95</v>
      </c>
      <c r="G57" s="1" t="str">
        <f>G51</f>
        <v>per 100 youth petitioned</v>
      </c>
      <c r="L57" s="58">
        <f>IF(($E51&gt;0),L51,L50)</f>
        <v>100</v>
      </c>
      <c r="M57" s="58"/>
    </row>
    <row r="58" spans="2:18" ht="15" hidden="1" customHeight="1" x14ac:dyDescent="0.25">
      <c r="B58" s="49" t="str">
        <f>IF(($E52&gt;0),B52,B51)</f>
        <v>per 100 youth found delinquent</v>
      </c>
      <c r="C58" s="49">
        <f>IF(($E52&gt;0),C52,C51)</f>
        <v>0.28000000000000003</v>
      </c>
      <c r="D58" s="49">
        <f>IF(($E52&gt;0),D52,D51)</f>
        <v>0.27</v>
      </c>
      <c r="E58" s="56">
        <f>MAX(C58:D58)</f>
        <v>0.28000000000000003</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8.532</v>
      </c>
      <c r="D60" s="56">
        <f>D54</f>
        <v>2.0459999999999998</v>
      </c>
      <c r="E60" s="56">
        <f>MAX(C60:D60)</f>
        <v>8.532</v>
      </c>
      <c r="G60" s="1" t="str">
        <f>G54</f>
        <v>per 1000 youth</v>
      </c>
      <c r="L60" s="58">
        <f>L54</f>
        <v>1000</v>
      </c>
      <c r="M60" s="58"/>
    </row>
    <row r="61" spans="2:18" ht="15" hidden="1" customHeight="1" x14ac:dyDescent="0.25">
      <c r="B61" s="49" t="str">
        <f t="shared" ref="B61:D62" si="11">IF(($E55&gt;0),B55,B54)</f>
        <v>per 100 arrests</v>
      </c>
      <c r="C61" s="49">
        <f t="shared" si="11"/>
        <v>0.04</v>
      </c>
      <c r="D61" s="49">
        <f t="shared" si="11"/>
        <v>0.03</v>
      </c>
      <c r="E61" s="49">
        <f>MAX(C61:D61)</f>
        <v>0.04</v>
      </c>
      <c r="G61" s="1" t="str">
        <f>G55</f>
        <v>per 100 arrests</v>
      </c>
      <c r="L61" s="58">
        <f>IF(($E55&gt;0),L55,L54)</f>
        <v>100</v>
      </c>
      <c r="M61" s="58"/>
    </row>
    <row r="62" spans="2:18" ht="15" hidden="1" customHeight="1" x14ac:dyDescent="0.25">
      <c r="B62" s="49" t="str">
        <f t="shared" si="11"/>
        <v>per 100 referrals</v>
      </c>
      <c r="C62" s="49">
        <f t="shared" si="11"/>
        <v>0.83</v>
      </c>
      <c r="D62" s="49">
        <f t="shared" si="11"/>
        <v>1.03</v>
      </c>
      <c r="E62" s="49">
        <f>MAX(C62:D62)</f>
        <v>1.03</v>
      </c>
      <c r="G62" s="1" t="str">
        <f>G56</f>
        <v>per 100 referrals</v>
      </c>
      <c r="L62" s="58">
        <f>IF(($E56&gt;0),L56,L55)</f>
        <v>100</v>
      </c>
      <c r="M62" s="58"/>
    </row>
    <row r="63" spans="2:18" ht="15" hidden="1" customHeight="1" x14ac:dyDescent="0.25">
      <c r="B63" s="49" t="str">
        <f>IF(($E57&gt;0),B57,B55)</f>
        <v>per 100 youth petitioned</v>
      </c>
      <c r="C63" s="49">
        <f>IF(($E57&gt;0),C57,C56)</f>
        <v>0.76</v>
      </c>
      <c r="D63" s="49">
        <f>IF(($E57&gt;0),D57,D56)</f>
        <v>0.95</v>
      </c>
      <c r="E63" s="49">
        <f>MAX(C63:D63)</f>
        <v>0.95</v>
      </c>
      <c r="G63" s="1" t="str">
        <f>G57</f>
        <v>per 100 youth petitioned</v>
      </c>
      <c r="L63" s="58">
        <f>IF(($E57&gt;0),L57,L56)</f>
        <v>100</v>
      </c>
      <c r="M63" s="58"/>
    </row>
    <row r="64" spans="2:18" ht="15" hidden="1" customHeight="1" x14ac:dyDescent="0.25">
      <c r="B64" s="49" t="str">
        <f>IF(($E58&gt;0),B58,B57)</f>
        <v>per 100 youth found delinquent</v>
      </c>
      <c r="C64" s="49">
        <f>IF(($E58&gt;0),C58,C57)</f>
        <v>0.28000000000000003</v>
      </c>
      <c r="D64" s="49">
        <f>IF(($E58&gt;0),D58,D57)</f>
        <v>0.27</v>
      </c>
      <c r="E64" s="56">
        <f>MAX(C64:D64)</f>
        <v>0.28000000000000003</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8.532</v>
      </c>
      <c r="D66" s="56">
        <f>D60</f>
        <v>2.0459999999999998</v>
      </c>
      <c r="E66" s="56">
        <f>MAX(C66:D66)</f>
        <v>8.532</v>
      </c>
      <c r="G66" s="1" t="str">
        <f>G60</f>
        <v>per 1000 youth</v>
      </c>
      <c r="L66" s="58">
        <f>L60</f>
        <v>1000</v>
      </c>
      <c r="M66" s="58">
        <f>IF((B66=G66),1,2)</f>
        <v>1</v>
      </c>
    </row>
    <row r="67" spans="2:13" ht="15" hidden="1" customHeight="1" x14ac:dyDescent="0.25">
      <c r="B67" s="49" t="str">
        <f t="shared" ref="B67:D68" si="12">IF(($E61&gt;0),B61,B60)</f>
        <v>per 100 arrests</v>
      </c>
      <c r="C67" s="49">
        <f t="shared" si="12"/>
        <v>0.04</v>
      </c>
      <c r="D67" s="49">
        <f t="shared" si="12"/>
        <v>0.03</v>
      </c>
      <c r="E67" s="49">
        <f>MAX(C67:D67)</f>
        <v>0.04</v>
      </c>
      <c r="G67" s="1" t="str">
        <f>G61</f>
        <v>per 100 arrests</v>
      </c>
      <c r="L67" s="58">
        <f>IF(($E61&gt;0),L61,L60)</f>
        <v>100</v>
      </c>
      <c r="M67" s="58">
        <f>IF((B67=G67),1,2)</f>
        <v>1</v>
      </c>
    </row>
    <row r="68" spans="2:13" ht="15" hidden="1" customHeight="1" x14ac:dyDescent="0.25">
      <c r="B68" s="49" t="str">
        <f t="shared" si="12"/>
        <v>per 100 referrals</v>
      </c>
      <c r="C68" s="49">
        <f t="shared" si="12"/>
        <v>0.83</v>
      </c>
      <c r="D68" s="49">
        <f t="shared" si="12"/>
        <v>1.03</v>
      </c>
      <c r="E68" s="49">
        <f>MAX(C68:D68)</f>
        <v>1.03</v>
      </c>
      <c r="G68" s="1" t="str">
        <f>G62</f>
        <v>per 100 referrals</v>
      </c>
      <c r="L68" s="58">
        <f>IF(($E62&gt;0),L62,L61)</f>
        <v>100</v>
      </c>
      <c r="M68" s="58">
        <f>IF((B68=G68),1,2)</f>
        <v>1</v>
      </c>
    </row>
    <row r="69" spans="2:13" ht="15" hidden="1" customHeight="1" x14ac:dyDescent="0.25">
      <c r="B69" s="49" t="str">
        <f>IF(($E63&gt;0),B63,B61)</f>
        <v>per 100 youth petitioned</v>
      </c>
      <c r="C69" s="49">
        <f>IF(($E63&gt;0),C63,C62)</f>
        <v>0.76</v>
      </c>
      <c r="D69" s="49">
        <f>IF(($E63&gt;0),D63,D62)</f>
        <v>0.95</v>
      </c>
      <c r="E69" s="49">
        <f>MAX(C69:D69)</f>
        <v>0.95</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0.28000000000000003</v>
      </c>
      <c r="D70" s="49">
        <f>IF(($E64&gt;0),D64,D63)</f>
        <v>0.27</v>
      </c>
      <c r="E70" s="56">
        <f>MAX(C70:D70)</f>
        <v>0.28000000000000003</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Calhoun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8532</v>
      </c>
      <c r="D6" s="34"/>
      <c r="E6" s="33">
        <f>'Data Entry'!F6</f>
        <v>351</v>
      </c>
      <c r="F6" s="34"/>
      <c r="G6" s="35"/>
      <c r="H6" s="36"/>
      <c r="I6" s="37"/>
      <c r="J6" s="38"/>
      <c r="K6" s="37"/>
      <c r="L6" s="1">
        <f>IF( ('Data Entry'!F6&gt;('Data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4</v>
      </c>
      <c r="D7" s="34">
        <f>IF((AND(C66&gt;0,C7&gt;0)),(C7/C66),0)</f>
        <v>0.46882325363338023</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351</v>
      </c>
      <c r="P7" s="42">
        <f t="shared" ref="P7:P15" si="4">C7</f>
        <v>4</v>
      </c>
      <c r="Q7" s="42">
        <f>C6-C7</f>
        <v>8528</v>
      </c>
      <c r="R7" s="42">
        <f t="shared" ref="R7:R15" si="5">SUM(N7:Q7)</f>
        <v>8883</v>
      </c>
      <c r="S7" s="30">
        <f t="shared" ref="S7:S15" si="6">R7*((((N7*Q7)-(O7*P7))^2))</f>
        <v>17510311728</v>
      </c>
      <c r="T7" s="30">
        <f t="shared" ref="T7:T15" si="7">(N7+O7)*(P7+Q7)*(N7+P7)*(O7+Q7)</f>
        <v>106360901712</v>
      </c>
      <c r="U7" s="31">
        <f t="shared" ref="U7:U15" si="8">IF((S7&gt;0),S7/T7,"- -")</f>
        <v>0.16463109513130827</v>
      </c>
    </row>
    <row r="8" spans="2:21" ht="18" customHeight="1" x14ac:dyDescent="0.25">
      <c r="B8" s="32" t="str">
        <f>'Data Entry'!A8</f>
        <v>3. Refer to Juvenile Court</v>
      </c>
      <c r="C8" s="33">
        <f>'Data Entry'!C8</f>
        <v>83</v>
      </c>
      <c r="D8" s="34">
        <f>IF((AND(C67&gt;0,C8&gt;0)),(C8/C67),0)</f>
        <v>2075</v>
      </c>
      <c r="E8" s="33">
        <f>'Data Entry'!F8</f>
        <v>1</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v>
      </c>
      <c r="O8" s="42">
        <f>((D67*L67)-E8)+0.05</f>
        <v>-0.95</v>
      </c>
      <c r="P8" s="42">
        <f t="shared" si="4"/>
        <v>83</v>
      </c>
      <c r="Q8" s="42">
        <f>(C$67*L67)-C8</f>
        <v>-79</v>
      </c>
      <c r="R8" s="42">
        <f t="shared" si="5"/>
        <v>4.0499999999999972</v>
      </c>
      <c r="S8" s="30">
        <f t="shared" si="6"/>
        <v>9.1125000000006839E-2</v>
      </c>
      <c r="T8" s="30">
        <f t="shared" si="7"/>
        <v>-1343.1600000000012</v>
      </c>
      <c r="U8" s="31">
        <f t="shared" si="8"/>
        <v>-6.7843741624234457E-5</v>
      </c>
    </row>
    <row r="9" spans="2:21" ht="18" customHeight="1" x14ac:dyDescent="0.25">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83</v>
      </c>
      <c r="R9" s="42">
        <f t="shared" si="5"/>
        <v>84</v>
      </c>
      <c r="S9" s="30">
        <f t="shared" si="6"/>
        <v>0</v>
      </c>
      <c r="T9" s="30">
        <f t="shared" si="7"/>
        <v>0</v>
      </c>
      <c r="U9" s="31" t="str">
        <f t="shared" si="8"/>
        <v>- -</v>
      </c>
    </row>
    <row r="10" spans="2:21" ht="18" customHeight="1" x14ac:dyDescent="0.25">
      <c r="B10" s="32" t="str">
        <f>'Data Entry'!A10</f>
        <v>5. Cases Involving Secure Detention</v>
      </c>
      <c r="C10" s="33">
        <f>'Data Entry'!C10</f>
        <v>29</v>
      </c>
      <c r="D10" s="34">
        <f>IF(((AND(C68&gt;0,C10&gt;0))),(C10/(C68)),0)</f>
        <v>34.939759036144579</v>
      </c>
      <c r="E10" s="33">
        <f>'Data Entry'!F10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1</v>
      </c>
      <c r="P10" s="42">
        <f t="shared" si="4"/>
        <v>29</v>
      </c>
      <c r="Q10" s="42">
        <f>(C$68*L68)-C10</f>
        <v>54</v>
      </c>
      <c r="R10" s="42">
        <f t="shared" si="5"/>
        <v>84</v>
      </c>
      <c r="S10" s="30">
        <f t="shared" si="6"/>
        <v>70644</v>
      </c>
      <c r="T10" s="30">
        <f t="shared" si="7"/>
        <v>132385</v>
      </c>
      <c r="U10" s="31">
        <f t="shared" si="8"/>
        <v>0.53362541073384451</v>
      </c>
    </row>
    <row r="11" spans="2:21" ht="18" customHeight="1" x14ac:dyDescent="0.25">
      <c r="B11" s="32" t="str">
        <f>'Data Entry'!A11</f>
        <v>6. Cases Petitioned (Charge Filed)</v>
      </c>
      <c r="C11" s="33">
        <f>'Data Entry'!C11</f>
        <v>76</v>
      </c>
      <c r="D11" s="34">
        <f>IF(((AND(C68&gt;0,C11&gt;0))),(C11/(C68)),0)</f>
        <v>91.566265060240966</v>
      </c>
      <c r="E11" s="33">
        <f>'Data Entry'!F11</f>
        <v>1</v>
      </c>
      <c r="F11" s="34">
        <f>IF(((AND($E$11&gt;0,$D$68&gt;0))),($E$11/($D$68)),0)</f>
        <v>100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1</v>
      </c>
      <c r="O11" s="42">
        <f>(D$68*L68)-E11</f>
        <v>0</v>
      </c>
      <c r="P11" s="42">
        <f t="shared" si="4"/>
        <v>76</v>
      </c>
      <c r="Q11" s="42">
        <f>(C$68*L68)-C11</f>
        <v>7</v>
      </c>
      <c r="R11" s="42">
        <f t="shared" si="5"/>
        <v>84</v>
      </c>
      <c r="S11" s="30">
        <f t="shared" si="6"/>
        <v>4116</v>
      </c>
      <c r="T11" s="30">
        <f t="shared" si="7"/>
        <v>44737</v>
      </c>
      <c r="U11" s="31">
        <f t="shared" si="8"/>
        <v>9.2004381161007662E-2</v>
      </c>
    </row>
    <row r="12" spans="2:21" ht="18" customHeight="1" x14ac:dyDescent="0.25">
      <c r="B12" s="32" t="str">
        <f>'Data Entry'!A12</f>
        <v>7. Cases Resulting in Delinquent Findings</v>
      </c>
      <c r="C12" s="33">
        <f>'Data Entry'!C12</f>
        <v>28</v>
      </c>
      <c r="D12" s="34">
        <f>IF(((AND(C69&gt;0,C12&gt;0))),(C12/(C69)),0)</f>
        <v>36.842105263157897</v>
      </c>
      <c r="E12" s="33">
        <f>'Data Entry'!F12</f>
        <v>0</v>
      </c>
      <c r="F12" s="34">
        <f>IF(((AND($D$69&gt;0,$E$12&gt;0))),(E12/(D69)),0)</f>
        <v>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0</v>
      </c>
      <c r="O12" s="42">
        <f>(D69*L69)-E12</f>
        <v>1</v>
      </c>
      <c r="P12" s="42">
        <f t="shared" si="4"/>
        <v>28</v>
      </c>
      <c r="Q12" s="42">
        <f>(C69*L69)-C12</f>
        <v>48</v>
      </c>
      <c r="R12" s="42">
        <f t="shared" si="5"/>
        <v>77</v>
      </c>
      <c r="S12" s="30">
        <f t="shared" si="6"/>
        <v>60368</v>
      </c>
      <c r="T12" s="30">
        <f t="shared" si="7"/>
        <v>104272</v>
      </c>
      <c r="U12" s="31">
        <f t="shared" si="8"/>
        <v>0.57894736842105265</v>
      </c>
    </row>
    <row r="13" spans="2:21" ht="18" customHeight="1" x14ac:dyDescent="0.25">
      <c r="B13" s="32" t="str">
        <f>'Data Entry'!A13</f>
        <v>8. Cases Resulting in Probation Placement</v>
      </c>
      <c r="C13" s="33">
        <f>'Data Entry'!C13</f>
        <v>35</v>
      </c>
      <c r="D13" s="34">
        <f>IF(((AND(C70&gt;0,C13&gt;0))),(C13/(C70)),0)</f>
        <v>124.99999999999999</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35</v>
      </c>
      <c r="Q13" s="42">
        <f>(C70*L70)-C13</f>
        <v>-6.9999999999999964</v>
      </c>
      <c r="R13" s="42">
        <f t="shared" si="5"/>
        <v>28.000000000000004</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29</v>
      </c>
      <c r="D14" s="34">
        <f>IF(((AND(C70&gt;0,C14&gt;0))), ((C14/(C70))),0)</f>
        <v>103.57142857142856</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29</v>
      </c>
      <c r="Q14" s="42">
        <f>(C70*L70)-C14</f>
        <v>-0.99999999999999645</v>
      </c>
      <c r="R14" s="42">
        <f t="shared" si="5"/>
        <v>28.000000000000004</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76</v>
      </c>
      <c r="R15" s="42">
        <f t="shared" si="5"/>
        <v>77</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8.532</v>
      </c>
      <c r="D42" s="56">
        <f>E6/1000</f>
        <v>0.35099999999999998</v>
      </c>
      <c r="E42" s="56">
        <f>MAX(C42:D42)</f>
        <v>8.532</v>
      </c>
      <c r="G42" s="1" t="str">
        <f>B42</f>
        <v>per 1000 youth</v>
      </c>
      <c r="L42" s="57">
        <v>1000</v>
      </c>
      <c r="M42" s="57"/>
      <c r="R42" s="49"/>
    </row>
    <row r="43" spans="2:18" ht="15" hidden="1" customHeight="1" x14ac:dyDescent="0.25">
      <c r="B43" s="49" t="s">
        <v>87</v>
      </c>
      <c r="C43" s="56">
        <f>C7/100</f>
        <v>0.04</v>
      </c>
      <c r="D43" s="56">
        <f>E7/100</f>
        <v>0</v>
      </c>
      <c r="E43" s="56">
        <f>MAX(C43:D43,0)</f>
        <v>0.04</v>
      </c>
      <c r="G43" s="1" t="str">
        <f>B43</f>
        <v>per 100 arrests</v>
      </c>
      <c r="L43" s="57">
        <v>100</v>
      </c>
      <c r="M43" s="57"/>
      <c r="R43" s="49"/>
    </row>
    <row r="44" spans="2:18" ht="15" hidden="1" customHeight="1" x14ac:dyDescent="0.25">
      <c r="B44" s="49" t="s">
        <v>88</v>
      </c>
      <c r="C44" s="56">
        <f>C8/100</f>
        <v>0.83</v>
      </c>
      <c r="D44" s="56">
        <f>E8/100</f>
        <v>0.01</v>
      </c>
      <c r="E44" s="56">
        <f>MAX(C44:D44,0)</f>
        <v>0.83</v>
      </c>
      <c r="G44" s="1" t="str">
        <f>B44</f>
        <v>per 100 referrals</v>
      </c>
      <c r="L44" s="57">
        <v>100</v>
      </c>
      <c r="M44" s="57"/>
      <c r="R44" s="49"/>
    </row>
    <row r="45" spans="2:18" ht="15" hidden="1" customHeight="1" x14ac:dyDescent="0.25">
      <c r="B45" s="49" t="s">
        <v>89</v>
      </c>
      <c r="C45" s="49">
        <f>C11/100</f>
        <v>0.76</v>
      </c>
      <c r="D45" s="49">
        <f>E11/100</f>
        <v>0.01</v>
      </c>
      <c r="E45" s="56">
        <f>MAX(C45:D45,0)</f>
        <v>0.76</v>
      </c>
      <c r="G45" s="1" t="str">
        <f>B45</f>
        <v>per 100 youth petitioned</v>
      </c>
      <c r="L45" s="57">
        <v>100</v>
      </c>
      <c r="M45" s="57"/>
      <c r="R45" s="49"/>
    </row>
    <row r="46" spans="2:18" ht="15" hidden="1" customHeight="1" x14ac:dyDescent="0.25">
      <c r="B46" s="49" t="s">
        <v>90</v>
      </c>
      <c r="C46" s="49">
        <f>C12/100</f>
        <v>0.28000000000000003</v>
      </c>
      <c r="D46" s="49">
        <f>E12/100</f>
        <v>0</v>
      </c>
      <c r="E46" s="56">
        <f>MAX(C46:D46)</f>
        <v>0.28000000000000003</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8.532</v>
      </c>
      <c r="D48" s="56">
        <f>D42</f>
        <v>0.35099999999999998</v>
      </c>
      <c r="E48" s="56">
        <f>MAX(C48:D48)</f>
        <v>8.532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0.04</v>
      </c>
      <c r="D49" s="49">
        <f t="shared" si="9"/>
        <v>0</v>
      </c>
      <c r="E49" s="49">
        <f>MAX(C49:D49)</f>
        <v>0.04</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0.83</v>
      </c>
      <c r="D50" s="49">
        <f t="shared" si="9"/>
        <v>0.01</v>
      </c>
      <c r="E50" s="49">
        <f>MAX(C50:D50)</f>
        <v>0.83</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0.76</v>
      </c>
      <c r="D51" s="49">
        <f>IF(($E45&gt;0),D45,D44)</f>
        <v>0.01</v>
      </c>
      <c r="E51" s="49">
        <f>MAX(C51:D51)</f>
        <v>0.76</v>
      </c>
      <c r="G51" s="1" t="str">
        <f>G45</f>
        <v>per 100 youth petitioned</v>
      </c>
      <c r="L51" s="58">
        <f>IF(($E45&gt;0),L45,L44)</f>
        <v>100</v>
      </c>
      <c r="M51" s="58"/>
    </row>
    <row r="52" spans="2:18" ht="15" hidden="1" customHeight="1" x14ac:dyDescent="0.25">
      <c r="B52" s="49" t="str">
        <f>IF(($E46&gt;0),B46,B45)</f>
        <v>per 100 youth found delinquent</v>
      </c>
      <c r="C52" s="49">
        <f>IF(($E46&gt;0),C46,C45)</f>
        <v>0.28000000000000003</v>
      </c>
      <c r="D52" s="49">
        <f>IF(($E46&gt;0),D46,D45)</f>
        <v>0</v>
      </c>
      <c r="E52" s="56">
        <f>MAX(C52:D52)</f>
        <v>0.28000000000000003</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8.532</v>
      </c>
      <c r="D54" s="56">
        <f>D48</f>
        <v>0.35099999999999998</v>
      </c>
      <c r="E54" s="56">
        <f>MAX(C54:D54)</f>
        <v>8.532</v>
      </c>
      <c r="G54" s="1" t="str">
        <f>G48</f>
        <v>per 1000 youth</v>
      </c>
      <c r="L54" s="58">
        <f>L48</f>
        <v>1000</v>
      </c>
      <c r="M54" s="58"/>
    </row>
    <row r="55" spans="2:18" ht="15" hidden="1" customHeight="1" x14ac:dyDescent="0.25">
      <c r="B55" s="49" t="str">
        <f t="shared" ref="B55:D56" si="10">IF(($E49&gt;0),B49,B48)</f>
        <v>per 100 arrests</v>
      </c>
      <c r="C55" s="49">
        <f t="shared" si="10"/>
        <v>0.04</v>
      </c>
      <c r="D55" s="49">
        <f t="shared" si="10"/>
        <v>0</v>
      </c>
      <c r="E55" s="49">
        <f>MAX(C55:D55)</f>
        <v>0.04</v>
      </c>
      <c r="G55" s="1" t="str">
        <f>G49</f>
        <v>per 100 arrests</v>
      </c>
      <c r="L55" s="58">
        <f>IF(($E49&gt;0),L49,L48)</f>
        <v>100</v>
      </c>
      <c r="M55" s="58"/>
    </row>
    <row r="56" spans="2:18" ht="15" hidden="1" customHeight="1" x14ac:dyDescent="0.25">
      <c r="B56" s="49" t="str">
        <f t="shared" si="10"/>
        <v>per 100 referrals</v>
      </c>
      <c r="C56" s="49">
        <f t="shared" si="10"/>
        <v>0.83</v>
      </c>
      <c r="D56" s="49">
        <f t="shared" si="10"/>
        <v>0.01</v>
      </c>
      <c r="E56" s="49">
        <f>MAX(C56:D56)</f>
        <v>0.83</v>
      </c>
      <c r="G56" s="1" t="str">
        <f>G50</f>
        <v>per 100 referrals</v>
      </c>
      <c r="L56" s="58">
        <f>IF(($E50&gt;0),L50,L49)</f>
        <v>100</v>
      </c>
      <c r="M56" s="58"/>
    </row>
    <row r="57" spans="2:18" ht="15" hidden="1" customHeight="1" x14ac:dyDescent="0.25">
      <c r="B57" s="49" t="str">
        <f>IF(($E51&gt;0),B51,B49)</f>
        <v>per 100 youth petitioned</v>
      </c>
      <c r="C57" s="49">
        <f>IF(($E51&gt;0),C51,C50)</f>
        <v>0.76</v>
      </c>
      <c r="D57" s="49">
        <f>IF(($E51&gt;0),D51,D50)</f>
        <v>0.01</v>
      </c>
      <c r="E57" s="49">
        <f>MAX(C57:D57)</f>
        <v>0.76</v>
      </c>
      <c r="G57" s="1" t="str">
        <f>G51</f>
        <v>per 100 youth petitioned</v>
      </c>
      <c r="L57" s="58">
        <f>IF(($E51&gt;0),L51,L50)</f>
        <v>100</v>
      </c>
      <c r="M57" s="58"/>
    </row>
    <row r="58" spans="2:18" ht="15" hidden="1" customHeight="1" x14ac:dyDescent="0.25">
      <c r="B58" s="49" t="str">
        <f>IF(($E52&gt;0),B52,B51)</f>
        <v>per 100 youth found delinquent</v>
      </c>
      <c r="C58" s="49">
        <f>IF(($E52&gt;0),C52,C51)</f>
        <v>0.28000000000000003</v>
      </c>
      <c r="D58" s="49">
        <f>IF(($E52&gt;0),D52,D51)</f>
        <v>0</v>
      </c>
      <c r="E58" s="56">
        <f>MAX(C58:D58)</f>
        <v>0.28000000000000003</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8.532</v>
      </c>
      <c r="D60" s="56">
        <f>D54</f>
        <v>0.35099999999999998</v>
      </c>
      <c r="E60" s="56">
        <f>MAX(C60:D60)</f>
        <v>8.532</v>
      </c>
      <c r="G60" s="1" t="str">
        <f>G54</f>
        <v>per 1000 youth</v>
      </c>
      <c r="L60" s="58">
        <f>L54</f>
        <v>1000</v>
      </c>
      <c r="M60" s="58"/>
    </row>
    <row r="61" spans="2:18" ht="15" hidden="1" customHeight="1" x14ac:dyDescent="0.25">
      <c r="B61" s="49" t="str">
        <f t="shared" ref="B61:D62" si="11">IF(($E55&gt;0),B55,B54)</f>
        <v>per 100 arrests</v>
      </c>
      <c r="C61" s="49">
        <f t="shared" si="11"/>
        <v>0.04</v>
      </c>
      <c r="D61" s="49">
        <f t="shared" si="11"/>
        <v>0</v>
      </c>
      <c r="E61" s="49">
        <f>MAX(C61:D61)</f>
        <v>0.04</v>
      </c>
      <c r="G61" s="1" t="str">
        <f>G55</f>
        <v>per 100 arrests</v>
      </c>
      <c r="L61" s="58">
        <f>IF(($E55&gt;0),L55,L54)</f>
        <v>100</v>
      </c>
      <c r="M61" s="58"/>
    </row>
    <row r="62" spans="2:18" ht="15" hidden="1" customHeight="1" x14ac:dyDescent="0.25">
      <c r="B62" s="49" t="str">
        <f t="shared" si="11"/>
        <v>per 100 referrals</v>
      </c>
      <c r="C62" s="49">
        <f t="shared" si="11"/>
        <v>0.83</v>
      </c>
      <c r="D62" s="49">
        <f t="shared" si="11"/>
        <v>0.01</v>
      </c>
      <c r="E62" s="49">
        <f>MAX(C62:D62)</f>
        <v>0.83</v>
      </c>
      <c r="G62" s="1" t="str">
        <f>G56</f>
        <v>per 100 referrals</v>
      </c>
      <c r="L62" s="58">
        <f>IF(($E56&gt;0),L56,L55)</f>
        <v>100</v>
      </c>
      <c r="M62" s="58"/>
    </row>
    <row r="63" spans="2:18" ht="15" hidden="1" customHeight="1" x14ac:dyDescent="0.25">
      <c r="B63" s="49" t="str">
        <f>IF(($E57&gt;0),B57,B55)</f>
        <v>per 100 youth petitioned</v>
      </c>
      <c r="C63" s="49">
        <f>IF(($E57&gt;0),C57,C56)</f>
        <v>0.76</v>
      </c>
      <c r="D63" s="49">
        <f>IF(($E57&gt;0),D57,D56)</f>
        <v>0.01</v>
      </c>
      <c r="E63" s="49">
        <f>MAX(C63:D63)</f>
        <v>0.76</v>
      </c>
      <c r="G63" s="1" t="str">
        <f>G57</f>
        <v>per 100 youth petitioned</v>
      </c>
      <c r="L63" s="58">
        <f>IF(($E57&gt;0),L57,L56)</f>
        <v>100</v>
      </c>
      <c r="M63" s="58"/>
    </row>
    <row r="64" spans="2:18" ht="15" hidden="1" customHeight="1" x14ac:dyDescent="0.25">
      <c r="B64" s="49" t="str">
        <f>IF(($E58&gt;0),B58,B57)</f>
        <v>per 100 youth found delinquent</v>
      </c>
      <c r="C64" s="49">
        <f>IF(($E58&gt;0),C58,C57)</f>
        <v>0.28000000000000003</v>
      </c>
      <c r="D64" s="49">
        <f>IF(($E58&gt;0),D58,D57)</f>
        <v>0</v>
      </c>
      <c r="E64" s="56">
        <f>MAX(C64:D64)</f>
        <v>0.28000000000000003</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8.532</v>
      </c>
      <c r="D66" s="56">
        <f>D60</f>
        <v>0.35099999999999998</v>
      </c>
      <c r="E66" s="56">
        <f>MAX(C66:D66)</f>
        <v>8.532</v>
      </c>
      <c r="G66" s="1" t="str">
        <f>G60</f>
        <v>per 1000 youth</v>
      </c>
      <c r="L66" s="58">
        <f>L60</f>
        <v>1000</v>
      </c>
      <c r="M66" s="58">
        <f>IF((B66=G66),1,2)</f>
        <v>1</v>
      </c>
    </row>
    <row r="67" spans="2:13" ht="15" hidden="1" customHeight="1" x14ac:dyDescent="0.25">
      <c r="B67" s="49" t="str">
        <f t="shared" ref="B67:D68" si="12">IF(($E61&gt;0),B61,B60)</f>
        <v>per 100 arrests</v>
      </c>
      <c r="C67" s="49">
        <f t="shared" si="12"/>
        <v>0.04</v>
      </c>
      <c r="D67" s="49">
        <f t="shared" si="12"/>
        <v>0</v>
      </c>
      <c r="E67" s="49">
        <f>MAX(C67:D67)</f>
        <v>0.04</v>
      </c>
      <c r="G67" s="1" t="str">
        <f>G61</f>
        <v>per 100 arrests</v>
      </c>
      <c r="L67" s="58">
        <f>IF(($E61&gt;0),L61,L60)</f>
        <v>100</v>
      </c>
      <c r="M67" s="58">
        <f>IF((B67=G67),1,2)</f>
        <v>1</v>
      </c>
    </row>
    <row r="68" spans="2:13" ht="15" hidden="1" customHeight="1" x14ac:dyDescent="0.25">
      <c r="B68" s="49" t="str">
        <f t="shared" si="12"/>
        <v>per 100 referrals</v>
      </c>
      <c r="C68" s="49">
        <f t="shared" si="12"/>
        <v>0.83</v>
      </c>
      <c r="D68" s="49">
        <f t="shared" si="12"/>
        <v>0.01</v>
      </c>
      <c r="E68" s="49">
        <f>MAX(C68:D68)</f>
        <v>0.83</v>
      </c>
      <c r="G68" s="1" t="str">
        <f>G62</f>
        <v>per 100 referrals</v>
      </c>
      <c r="L68" s="58">
        <f>IF(($E62&gt;0),L62,L61)</f>
        <v>100</v>
      </c>
      <c r="M68" s="58">
        <f>IF((B68=G68),1,2)</f>
        <v>1</v>
      </c>
    </row>
    <row r="69" spans="2:13" ht="15" hidden="1" customHeight="1" x14ac:dyDescent="0.25">
      <c r="B69" s="49" t="str">
        <f>IF(($E63&gt;0),B63,B61)</f>
        <v>per 100 youth petitioned</v>
      </c>
      <c r="C69" s="49">
        <f>IF(($E63&gt;0),C63,C62)</f>
        <v>0.76</v>
      </c>
      <c r="D69" s="49">
        <f>IF(($E63&gt;0),D63,D62)</f>
        <v>0.01</v>
      </c>
      <c r="E69" s="49">
        <f>MAX(C69:D69)</f>
        <v>0.76</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0.28000000000000003</v>
      </c>
      <c r="D70" s="49">
        <f>IF(($E64&gt;0),D64,D63)</f>
        <v>0</v>
      </c>
      <c r="E70" s="56">
        <f>MAX(C70:D70)</f>
        <v>0.28000000000000003</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Calhoun</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8532</v>
      </c>
      <c r="D6" s="34"/>
      <c r="E6" s="33">
        <f>'Data Entry'!E6</f>
        <v>1058</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4</v>
      </c>
      <c r="D7" s="34">
        <f>IF((AND(C66&gt;0,C7&gt;0)),(C7/C66),0)</f>
        <v>0.46882325363338023</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1058</v>
      </c>
      <c r="P7" s="42">
        <f t="shared" ref="P7:P15" si="4">C7</f>
        <v>4</v>
      </c>
      <c r="Q7" s="42">
        <f>C6-C7</f>
        <v>8528</v>
      </c>
      <c r="R7" s="42">
        <f t="shared" ref="R7:R15" si="5">SUM(N7:Q7)</f>
        <v>9590</v>
      </c>
      <c r="S7" s="30">
        <f t="shared" ref="S7:S15" si="6">R7*((((N7*Q7)-(O7*P7))^2))</f>
        <v>171755212160</v>
      </c>
      <c r="T7" s="30">
        <f t="shared" ref="T7:T15" si="7">(N7+O7)*(P7+Q7)*(N7+P7)*(O7+Q7)</f>
        <v>346125766464</v>
      </c>
      <c r="U7" s="31">
        <f t="shared" ref="U7:U15" si="8">IF((S7&gt;0),S7/T7,"- -")</f>
        <v>0.49622197709994526</v>
      </c>
    </row>
    <row r="8" spans="2:21" ht="18" customHeight="1" x14ac:dyDescent="0.25">
      <c r="B8" s="32" t="str">
        <f>'Data Entry'!A8</f>
        <v>3. Refer to Juvenile Court</v>
      </c>
      <c r="C8" s="33">
        <f>'Data Entry'!C8</f>
        <v>83</v>
      </c>
      <c r="D8" s="34">
        <f>IF((AND(C67&gt;0,C8&gt;0)),(C8/C67),0)</f>
        <v>2075</v>
      </c>
      <c r="E8" s="33">
        <f>'Data Entry'!E8</f>
        <v>8</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8</v>
      </c>
      <c r="O8" s="42">
        <f>((D67*L67)-E8)+0.05</f>
        <v>-7.95</v>
      </c>
      <c r="P8" s="42">
        <f t="shared" si="4"/>
        <v>83</v>
      </c>
      <c r="Q8" s="42">
        <f>(C$67*L67)-C8</f>
        <v>-79</v>
      </c>
      <c r="R8" s="42">
        <f t="shared" si="5"/>
        <v>4.0499999999999972</v>
      </c>
      <c r="S8" s="30">
        <f t="shared" si="6"/>
        <v>3141.2711250000029</v>
      </c>
      <c r="T8" s="30">
        <f t="shared" si="7"/>
        <v>-1582.4899999999943</v>
      </c>
      <c r="U8" s="31">
        <f t="shared" si="8"/>
        <v>-1.9850179937945984</v>
      </c>
    </row>
    <row r="9" spans="2:21" ht="18" customHeight="1" x14ac:dyDescent="0.25">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8</v>
      </c>
      <c r="P9" s="42">
        <f t="shared" si="4"/>
        <v>0</v>
      </c>
      <c r="Q9" s="42">
        <f>(C$68*L68)-C9</f>
        <v>83</v>
      </c>
      <c r="R9" s="42">
        <f t="shared" si="5"/>
        <v>91</v>
      </c>
      <c r="S9" s="30">
        <f t="shared" si="6"/>
        <v>0</v>
      </c>
      <c r="T9" s="30">
        <f t="shared" si="7"/>
        <v>0</v>
      </c>
      <c r="U9" s="31" t="str">
        <f t="shared" si="8"/>
        <v>- -</v>
      </c>
    </row>
    <row r="10" spans="2:21" ht="18" customHeight="1" x14ac:dyDescent="0.25">
      <c r="B10" s="32" t="str">
        <f>'Data Entry'!A10</f>
        <v>5. Cases Involving Secure Detention</v>
      </c>
      <c r="C10" s="33">
        <f>'Data Entry'!C10</f>
        <v>29</v>
      </c>
      <c r="D10" s="34">
        <f>IF(((AND(C68&gt;0,C10&gt;0))),(C10/(C68)),0)</f>
        <v>34.939759036144579</v>
      </c>
      <c r="E10" s="33">
        <f>'Data Entry'!E10</f>
        <v>5</v>
      </c>
      <c r="F10" s="34">
        <f>IF(((AND($E$10&gt;0,$D$68&gt;0))),($E$10/($D$68)),0)</f>
        <v>62.5</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5</v>
      </c>
      <c r="O10" s="42">
        <f>(D$68*L68)-E10</f>
        <v>3</v>
      </c>
      <c r="P10" s="42">
        <f t="shared" si="4"/>
        <v>29</v>
      </c>
      <c r="Q10" s="42">
        <f>(C$68*L68)-C10</f>
        <v>54</v>
      </c>
      <c r="R10" s="42">
        <f t="shared" si="5"/>
        <v>91</v>
      </c>
      <c r="S10" s="30">
        <f t="shared" si="6"/>
        <v>3047499</v>
      </c>
      <c r="T10" s="30">
        <f t="shared" si="7"/>
        <v>1286832</v>
      </c>
      <c r="U10" s="31">
        <f t="shared" si="8"/>
        <v>2.3682182289529634</v>
      </c>
    </row>
    <row r="11" spans="2:21" ht="18" customHeight="1" x14ac:dyDescent="0.25">
      <c r="B11" s="32" t="str">
        <f>'Data Entry'!A11</f>
        <v>6. Cases Petitioned (Charge Filed)</v>
      </c>
      <c r="C11" s="33">
        <f>'Data Entry'!C11</f>
        <v>76</v>
      </c>
      <c r="D11" s="34">
        <f>IF(((AND(C68&gt;0,C11&gt;0))),(C11/(C68)),0)</f>
        <v>91.566265060240966</v>
      </c>
      <c r="E11" s="33">
        <f>'Data Entry'!E11</f>
        <v>8</v>
      </c>
      <c r="F11" s="34">
        <f>IF(((AND($E$11&gt;0,$D$68&gt;0))),($E$11/($D$68)),0)</f>
        <v>100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8</v>
      </c>
      <c r="O11" s="42">
        <f>(D$68*L68)-E11</f>
        <v>0</v>
      </c>
      <c r="P11" s="42">
        <f t="shared" si="4"/>
        <v>76</v>
      </c>
      <c r="Q11" s="42">
        <f>(C$68*L68)-C11</f>
        <v>7</v>
      </c>
      <c r="R11" s="42">
        <f t="shared" si="5"/>
        <v>91</v>
      </c>
      <c r="S11" s="30">
        <f t="shared" si="6"/>
        <v>285376</v>
      </c>
      <c r="T11" s="30">
        <f t="shared" si="7"/>
        <v>390432</v>
      </c>
      <c r="U11" s="31">
        <f t="shared" si="8"/>
        <v>0.73092369477911645</v>
      </c>
    </row>
    <row r="12" spans="2:21" ht="18" customHeight="1" x14ac:dyDescent="0.25">
      <c r="B12" s="32" t="str">
        <f>'Data Entry'!A12</f>
        <v>7. Cases Resulting in Delinquent Findings</v>
      </c>
      <c r="C12" s="33">
        <f>'Data Entry'!C12</f>
        <v>28</v>
      </c>
      <c r="D12" s="34">
        <f>IF(((AND(C69&gt;0,C12&gt;0))),(C12/(C69)),0)</f>
        <v>36.842105263157897</v>
      </c>
      <c r="E12" s="33">
        <f>'Data Entry'!E12</f>
        <v>5</v>
      </c>
      <c r="F12" s="34">
        <f>IF(((AND($D$69&gt;0,$E$12&gt;0))),(E12/(D69)),0)</f>
        <v>62.5</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5</v>
      </c>
      <c r="O12" s="42">
        <f>(D69*L69)-E12</f>
        <v>3</v>
      </c>
      <c r="P12" s="42">
        <f t="shared" si="4"/>
        <v>28</v>
      </c>
      <c r="Q12" s="42">
        <f>(C69*L69)-C12</f>
        <v>48</v>
      </c>
      <c r="R12" s="42">
        <f t="shared" si="5"/>
        <v>84</v>
      </c>
      <c r="S12" s="30">
        <f t="shared" si="6"/>
        <v>2044224</v>
      </c>
      <c r="T12" s="30">
        <f t="shared" si="7"/>
        <v>1023264</v>
      </c>
      <c r="U12" s="31">
        <f t="shared" si="8"/>
        <v>1.9977483816493105</v>
      </c>
    </row>
    <row r="13" spans="2:21" ht="18" customHeight="1" x14ac:dyDescent="0.25">
      <c r="B13" s="32" t="str">
        <f>'Data Entry'!A13</f>
        <v>8. Cases Resulting in Probation Placement</v>
      </c>
      <c r="C13" s="33">
        <f>'Data Entry'!C13</f>
        <v>35</v>
      </c>
      <c r="D13" s="34">
        <f>IF(((AND(C70&gt;0,C13&gt;0))),(C13/(C70)),0)</f>
        <v>124.99999999999999</v>
      </c>
      <c r="E13" s="33">
        <f>'Data Entry'!E13</f>
        <v>7</v>
      </c>
      <c r="F13" s="34">
        <f>IF(((AND($D$70&gt;0,$E$13&gt;0))),($E$13/($D$70)),0)</f>
        <v>140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7</v>
      </c>
      <c r="O13" s="42">
        <f>(D70*L70)-E13</f>
        <v>-2</v>
      </c>
      <c r="P13" s="42">
        <f t="shared" si="4"/>
        <v>35</v>
      </c>
      <c r="Q13" s="42">
        <f>(C70*L70)-C13</f>
        <v>-6.9999999999999964</v>
      </c>
      <c r="R13" s="42">
        <f t="shared" si="5"/>
        <v>33</v>
      </c>
      <c r="S13" s="30">
        <f t="shared" si="6"/>
        <v>14553.00000000004</v>
      </c>
      <c r="T13" s="30">
        <f t="shared" si="7"/>
        <v>-52919.999999999985</v>
      </c>
      <c r="U13" s="31">
        <f t="shared" si="8"/>
        <v>-0.27500000000000085</v>
      </c>
    </row>
    <row r="14" spans="2:21" ht="30.75" customHeight="1" x14ac:dyDescent="0.25">
      <c r="B14" s="32" t="str">
        <f>'Data Entry'!A14</f>
        <v xml:space="preserve">9. Cases Resulting in Confinement in Secure Juvenile Correctional Facilities </v>
      </c>
      <c r="C14" s="33">
        <f>'Data Entry'!C14</f>
        <v>29</v>
      </c>
      <c r="D14" s="34">
        <f>IF(((AND(C70&gt;0,C14&gt;0))), ((C14/(C70))),0)</f>
        <v>103.57142857142856</v>
      </c>
      <c r="E14" s="33">
        <f>'Data Entry'!E14</f>
        <v>5</v>
      </c>
      <c r="F14" s="34">
        <f>IF(((AND($D$70&gt;0,$E$14&gt;0))), (($E$14/($D$70))),0)</f>
        <v>100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5</v>
      </c>
      <c r="O14" s="42">
        <f>(D70*L70)-E14</f>
        <v>0</v>
      </c>
      <c r="P14" s="42">
        <f t="shared" si="4"/>
        <v>29</v>
      </c>
      <c r="Q14" s="42">
        <f>(C70*L70)-C14</f>
        <v>-0.99999999999999645</v>
      </c>
      <c r="R14" s="42">
        <f t="shared" si="5"/>
        <v>33</v>
      </c>
      <c r="S14" s="30">
        <f t="shared" si="6"/>
        <v>824.99999999999409</v>
      </c>
      <c r="T14" s="30">
        <f t="shared" si="7"/>
        <v>-4759.9999999999836</v>
      </c>
      <c r="U14" s="31">
        <f t="shared" si="8"/>
        <v>-0.17331932773109179</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8</v>
      </c>
      <c r="P15" s="42">
        <f t="shared" si="4"/>
        <v>0</v>
      </c>
      <c r="Q15" s="42">
        <f>(C69*L69)-C15</f>
        <v>76</v>
      </c>
      <c r="R15" s="42">
        <f t="shared" si="5"/>
        <v>84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8.532</v>
      </c>
      <c r="D42" s="56">
        <f>E6/1000</f>
        <v>1.0580000000000001</v>
      </c>
      <c r="E42" s="56">
        <f>MAX(C42:D42)</f>
        <v>8.532</v>
      </c>
      <c r="G42" s="1" t="str">
        <f>B42</f>
        <v>per 1000 youth</v>
      </c>
      <c r="L42" s="57">
        <v>1000</v>
      </c>
      <c r="M42" s="57"/>
      <c r="R42" s="49"/>
    </row>
    <row r="43" spans="2:18" ht="15" hidden="1" customHeight="1" x14ac:dyDescent="0.25">
      <c r="B43" s="49" t="s">
        <v>87</v>
      </c>
      <c r="C43" s="56">
        <f>C7/100</f>
        <v>0.04</v>
      </c>
      <c r="D43" s="56">
        <f>E7/100</f>
        <v>0</v>
      </c>
      <c r="E43" s="56">
        <f>MAX(C43:D43,0)</f>
        <v>0.04</v>
      </c>
      <c r="G43" s="1" t="str">
        <f>B43</f>
        <v>per 100 arrests</v>
      </c>
      <c r="L43" s="57">
        <v>100</v>
      </c>
      <c r="M43" s="57"/>
      <c r="R43" s="49"/>
    </row>
    <row r="44" spans="2:18" ht="15" hidden="1" customHeight="1" x14ac:dyDescent="0.25">
      <c r="B44" s="49" t="s">
        <v>88</v>
      </c>
      <c r="C44" s="56">
        <f>C8/100</f>
        <v>0.83</v>
      </c>
      <c r="D44" s="56">
        <f>E8/100</f>
        <v>0.08</v>
      </c>
      <c r="E44" s="56">
        <f>MAX(C44:D44,0)</f>
        <v>0.83</v>
      </c>
      <c r="G44" s="1" t="str">
        <f>B44</f>
        <v>per 100 referrals</v>
      </c>
      <c r="L44" s="57">
        <v>100</v>
      </c>
      <c r="M44" s="57"/>
      <c r="R44" s="49"/>
    </row>
    <row r="45" spans="2:18" ht="15" hidden="1" customHeight="1" x14ac:dyDescent="0.25">
      <c r="B45" s="49" t="s">
        <v>89</v>
      </c>
      <c r="C45" s="49">
        <f>C11/100</f>
        <v>0.76</v>
      </c>
      <c r="D45" s="49">
        <f>E11/100</f>
        <v>0.08</v>
      </c>
      <c r="E45" s="56">
        <f>MAX(C45:D45,0)</f>
        <v>0.76</v>
      </c>
      <c r="G45" s="1" t="str">
        <f>B45</f>
        <v>per 100 youth petitioned</v>
      </c>
      <c r="L45" s="57">
        <v>100</v>
      </c>
      <c r="M45" s="57"/>
      <c r="R45" s="49"/>
    </row>
    <row r="46" spans="2:18" ht="15" hidden="1" customHeight="1" x14ac:dyDescent="0.25">
      <c r="B46" s="49" t="s">
        <v>90</v>
      </c>
      <c r="C46" s="49">
        <f>C12/100</f>
        <v>0.28000000000000003</v>
      </c>
      <c r="D46" s="49">
        <f>E12/100</f>
        <v>0.05</v>
      </c>
      <c r="E46" s="56">
        <f>MAX(C46:D46)</f>
        <v>0.28000000000000003</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8.532</v>
      </c>
      <c r="D48" s="56">
        <f>D42</f>
        <v>1.0580000000000001</v>
      </c>
      <c r="E48" s="56">
        <f>MAX(C48:D48)</f>
        <v>8.532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0.04</v>
      </c>
      <c r="D49" s="49">
        <f t="shared" si="9"/>
        <v>0</v>
      </c>
      <c r="E49" s="49">
        <f>MAX(C49:D49)</f>
        <v>0.04</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0.83</v>
      </c>
      <c r="D50" s="49">
        <f t="shared" si="9"/>
        <v>0.08</v>
      </c>
      <c r="E50" s="49">
        <f>MAX(C50:D50)</f>
        <v>0.83</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0.76</v>
      </c>
      <c r="D51" s="49">
        <f>IF(($E45&gt;0),D45,D44)</f>
        <v>0.08</v>
      </c>
      <c r="E51" s="49">
        <f>MAX(C51:D51)</f>
        <v>0.76</v>
      </c>
      <c r="G51" s="1" t="str">
        <f>G45</f>
        <v>per 100 youth petitioned</v>
      </c>
      <c r="L51" s="58">
        <f>IF(($E45&gt;0),L45,L44)</f>
        <v>100</v>
      </c>
      <c r="M51" s="58"/>
    </row>
    <row r="52" spans="2:18" ht="15" hidden="1" customHeight="1" x14ac:dyDescent="0.25">
      <c r="B52" s="49" t="str">
        <f>IF(($E46&gt;0),B46,B45)</f>
        <v>per 100 youth found delinquent</v>
      </c>
      <c r="C52" s="49">
        <f>IF(($E46&gt;0),C46,C45)</f>
        <v>0.28000000000000003</v>
      </c>
      <c r="D52" s="49">
        <f>IF(($E46&gt;0),D46,D45)</f>
        <v>0.05</v>
      </c>
      <c r="E52" s="56">
        <f>MAX(C52:D52)</f>
        <v>0.28000000000000003</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8.532</v>
      </c>
      <c r="D54" s="56">
        <f>D48</f>
        <v>1.0580000000000001</v>
      </c>
      <c r="E54" s="56">
        <f>MAX(C54:D54)</f>
        <v>8.532</v>
      </c>
      <c r="G54" s="1" t="str">
        <f>G48</f>
        <v>per 1000 youth</v>
      </c>
      <c r="L54" s="58">
        <f>L48</f>
        <v>1000</v>
      </c>
      <c r="M54" s="58"/>
    </row>
    <row r="55" spans="2:18" ht="15" hidden="1" customHeight="1" x14ac:dyDescent="0.25">
      <c r="B55" s="49" t="str">
        <f t="shared" ref="B55:D56" si="10">IF(($E49&gt;0),B49,B48)</f>
        <v>per 100 arrests</v>
      </c>
      <c r="C55" s="49">
        <f t="shared" si="10"/>
        <v>0.04</v>
      </c>
      <c r="D55" s="49">
        <f t="shared" si="10"/>
        <v>0</v>
      </c>
      <c r="E55" s="49">
        <f>MAX(C55:D55)</f>
        <v>0.04</v>
      </c>
      <c r="G55" s="1" t="str">
        <f>G49</f>
        <v>per 100 arrests</v>
      </c>
      <c r="L55" s="58">
        <f>IF(($E49&gt;0),L49,L48)</f>
        <v>100</v>
      </c>
      <c r="M55" s="58"/>
    </row>
    <row r="56" spans="2:18" ht="15" hidden="1" customHeight="1" x14ac:dyDescent="0.25">
      <c r="B56" s="49" t="str">
        <f t="shared" si="10"/>
        <v>per 100 referrals</v>
      </c>
      <c r="C56" s="49">
        <f t="shared" si="10"/>
        <v>0.83</v>
      </c>
      <c r="D56" s="49">
        <f t="shared" si="10"/>
        <v>0.08</v>
      </c>
      <c r="E56" s="49">
        <f>MAX(C56:D56)</f>
        <v>0.83</v>
      </c>
      <c r="G56" s="1" t="str">
        <f>G50</f>
        <v>per 100 referrals</v>
      </c>
      <c r="L56" s="58">
        <f>IF(($E50&gt;0),L50,L49)</f>
        <v>100</v>
      </c>
      <c r="M56" s="58"/>
    </row>
    <row r="57" spans="2:18" ht="15" hidden="1" customHeight="1" x14ac:dyDescent="0.25">
      <c r="B57" s="49" t="str">
        <f>IF(($E51&gt;0),B51,B49)</f>
        <v>per 100 youth petitioned</v>
      </c>
      <c r="C57" s="49">
        <f>IF(($E51&gt;0),C51,C50)</f>
        <v>0.76</v>
      </c>
      <c r="D57" s="49">
        <f>IF(($E51&gt;0),D51,D50)</f>
        <v>0.08</v>
      </c>
      <c r="E57" s="49">
        <f>MAX(C57:D57)</f>
        <v>0.76</v>
      </c>
      <c r="G57" s="1" t="str">
        <f>G51</f>
        <v>per 100 youth petitioned</v>
      </c>
      <c r="L57" s="58">
        <f>IF(($E51&gt;0),L51,L50)</f>
        <v>100</v>
      </c>
      <c r="M57" s="58"/>
    </row>
    <row r="58" spans="2:18" ht="15" hidden="1" customHeight="1" x14ac:dyDescent="0.25">
      <c r="B58" s="49" t="str">
        <f>IF(($E52&gt;0),B52,B51)</f>
        <v>per 100 youth found delinquent</v>
      </c>
      <c r="C58" s="49">
        <f>IF(($E52&gt;0),C52,C51)</f>
        <v>0.28000000000000003</v>
      </c>
      <c r="D58" s="49">
        <f>IF(($E52&gt;0),D52,D51)</f>
        <v>0.05</v>
      </c>
      <c r="E58" s="56">
        <f>MAX(C58:D58)</f>
        <v>0.28000000000000003</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8.532</v>
      </c>
      <c r="D60" s="56">
        <f>D54</f>
        <v>1.0580000000000001</v>
      </c>
      <c r="E60" s="56">
        <f>MAX(C60:D60)</f>
        <v>8.532</v>
      </c>
      <c r="G60" s="1" t="str">
        <f>G54</f>
        <v>per 1000 youth</v>
      </c>
      <c r="L60" s="58">
        <f>L54</f>
        <v>1000</v>
      </c>
      <c r="M60" s="58"/>
    </row>
    <row r="61" spans="2:18" ht="15" hidden="1" customHeight="1" x14ac:dyDescent="0.25">
      <c r="B61" s="49" t="str">
        <f t="shared" ref="B61:D62" si="11">IF(($E55&gt;0),B55,B54)</f>
        <v>per 100 arrests</v>
      </c>
      <c r="C61" s="49">
        <f t="shared" si="11"/>
        <v>0.04</v>
      </c>
      <c r="D61" s="49">
        <f t="shared" si="11"/>
        <v>0</v>
      </c>
      <c r="E61" s="49">
        <f>MAX(C61:D61)</f>
        <v>0.04</v>
      </c>
      <c r="G61" s="1" t="str">
        <f>G55</f>
        <v>per 100 arrests</v>
      </c>
      <c r="L61" s="58">
        <f>IF(($E55&gt;0),L55,L54)</f>
        <v>100</v>
      </c>
      <c r="M61" s="58"/>
    </row>
    <row r="62" spans="2:18" ht="15" hidden="1" customHeight="1" x14ac:dyDescent="0.25">
      <c r="B62" s="49" t="str">
        <f t="shared" si="11"/>
        <v>per 100 referrals</v>
      </c>
      <c r="C62" s="49">
        <f t="shared" si="11"/>
        <v>0.83</v>
      </c>
      <c r="D62" s="49">
        <f t="shared" si="11"/>
        <v>0.08</v>
      </c>
      <c r="E62" s="49">
        <f>MAX(C62:D62)</f>
        <v>0.83</v>
      </c>
      <c r="G62" s="1" t="str">
        <f>G56</f>
        <v>per 100 referrals</v>
      </c>
      <c r="L62" s="58">
        <f>IF(($E56&gt;0),L56,L55)</f>
        <v>100</v>
      </c>
      <c r="M62" s="58"/>
    </row>
    <row r="63" spans="2:18" ht="15" hidden="1" customHeight="1" x14ac:dyDescent="0.25">
      <c r="B63" s="49" t="str">
        <f>IF(($E57&gt;0),B57,B55)</f>
        <v>per 100 youth petitioned</v>
      </c>
      <c r="C63" s="49">
        <f>IF(($E57&gt;0),C57,C56)</f>
        <v>0.76</v>
      </c>
      <c r="D63" s="49">
        <f>IF(($E57&gt;0),D57,D56)</f>
        <v>0.08</v>
      </c>
      <c r="E63" s="49">
        <f>MAX(C63:D63)</f>
        <v>0.76</v>
      </c>
      <c r="G63" s="1" t="str">
        <f>G57</f>
        <v>per 100 youth petitioned</v>
      </c>
      <c r="L63" s="58">
        <f>IF(($E57&gt;0),L57,L56)</f>
        <v>100</v>
      </c>
      <c r="M63" s="58"/>
    </row>
    <row r="64" spans="2:18" ht="15" hidden="1" customHeight="1" x14ac:dyDescent="0.25">
      <c r="B64" s="49" t="str">
        <f>IF(($E58&gt;0),B58,B57)</f>
        <v>per 100 youth found delinquent</v>
      </c>
      <c r="C64" s="49">
        <f>IF(($E58&gt;0),C58,C57)</f>
        <v>0.28000000000000003</v>
      </c>
      <c r="D64" s="49">
        <f>IF(($E58&gt;0),D58,D57)</f>
        <v>0.05</v>
      </c>
      <c r="E64" s="56">
        <f>MAX(C64:D64)</f>
        <v>0.28000000000000003</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8.532</v>
      </c>
      <c r="D66" s="56">
        <f>D60</f>
        <v>1.0580000000000001</v>
      </c>
      <c r="E66" s="56">
        <f>MAX(C66:D66)</f>
        <v>8.532</v>
      </c>
      <c r="G66" s="1" t="str">
        <f>G60</f>
        <v>per 1000 youth</v>
      </c>
      <c r="L66" s="58">
        <f>L60</f>
        <v>1000</v>
      </c>
      <c r="M66" s="58">
        <f>IF((B66=G66),1,2)</f>
        <v>1</v>
      </c>
    </row>
    <row r="67" spans="2:13" ht="15" hidden="1" customHeight="1" x14ac:dyDescent="0.25">
      <c r="B67" s="49" t="str">
        <f t="shared" ref="B67:D68" si="12">IF(($E61&gt;0),B61,B60)</f>
        <v>per 100 arrests</v>
      </c>
      <c r="C67" s="49">
        <f t="shared" si="12"/>
        <v>0.04</v>
      </c>
      <c r="D67" s="49">
        <f t="shared" si="12"/>
        <v>0</v>
      </c>
      <c r="E67" s="49">
        <f>MAX(C67:D67)</f>
        <v>0.04</v>
      </c>
      <c r="G67" s="1" t="str">
        <f>G61</f>
        <v>per 100 arrests</v>
      </c>
      <c r="L67" s="58">
        <f>IF(($E61&gt;0),L61,L60)</f>
        <v>100</v>
      </c>
      <c r="M67" s="58">
        <f>IF((B67=G67),1,2)</f>
        <v>1</v>
      </c>
    </row>
    <row r="68" spans="2:13" ht="15" hidden="1" customHeight="1" x14ac:dyDescent="0.25">
      <c r="B68" s="49" t="str">
        <f t="shared" si="12"/>
        <v>per 100 referrals</v>
      </c>
      <c r="C68" s="49">
        <f t="shared" si="12"/>
        <v>0.83</v>
      </c>
      <c r="D68" s="49">
        <f t="shared" si="12"/>
        <v>0.08</v>
      </c>
      <c r="E68" s="49">
        <f>MAX(C68:D68)</f>
        <v>0.83</v>
      </c>
      <c r="G68" s="1" t="str">
        <f>G62</f>
        <v>per 100 referrals</v>
      </c>
      <c r="L68" s="58">
        <f>IF(($E62&gt;0),L62,L61)</f>
        <v>100</v>
      </c>
      <c r="M68" s="58">
        <f>IF((B68=G68),1,2)</f>
        <v>1</v>
      </c>
    </row>
    <row r="69" spans="2:13" ht="15" hidden="1" customHeight="1" x14ac:dyDescent="0.25">
      <c r="B69" s="49" t="str">
        <f>IF(($E63&gt;0),B63,B61)</f>
        <v>per 100 youth petitioned</v>
      </c>
      <c r="C69" s="49">
        <f>IF(($E63&gt;0),C63,C62)</f>
        <v>0.76</v>
      </c>
      <c r="D69" s="49">
        <f>IF(($E63&gt;0),D63,D62)</f>
        <v>0.08</v>
      </c>
      <c r="E69" s="49">
        <f>MAX(C69:D69)</f>
        <v>0.76</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0.28000000000000003</v>
      </c>
      <c r="D70" s="49">
        <f>IF(($E64&gt;0),D64,D63)</f>
        <v>0.05</v>
      </c>
      <c r="E70" s="56">
        <f>MAX(C70:D70)</f>
        <v>0.28000000000000003</v>
      </c>
      <c r="G70" s="1" t="str">
        <f>G64</f>
        <v>per 100 youth found delinquent</v>
      </c>
      <c r="L70" s="58">
        <f>IF(($E64&gt;0),L64,L63)</f>
        <v>100</v>
      </c>
      <c r="M70" s="58">
        <f>IF((B70=G70),1,2)</f>
        <v>1</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Calhoun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8532</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4</v>
      </c>
      <c r="D7" s="34">
        <f>IF((AND(C66&gt;0,C7&gt;0)),(C7/C66),0)</f>
        <v>0.46882325363338023</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4</v>
      </c>
      <c r="Q7" s="42">
        <f>C6-C7</f>
        <v>8528</v>
      </c>
      <c r="R7" s="42">
        <f t="shared" ref="R7:R15" si="5">SUM(N7:Q7)</f>
        <v>8532</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83</v>
      </c>
      <c r="D8" s="34">
        <f>IF((AND(C67&gt;0,C8&gt;0)),(C8/C67),0)</f>
        <v>2075</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83</v>
      </c>
      <c r="Q8" s="42">
        <f>(C$67*L67)-C8</f>
        <v>-79</v>
      </c>
      <c r="R8" s="42">
        <f t="shared" si="5"/>
        <v>4.0499999999999972</v>
      </c>
      <c r="S8" s="30">
        <f t="shared" si="6"/>
        <v>69.751124999999959</v>
      </c>
      <c r="T8" s="30">
        <f t="shared" si="7"/>
        <v>-1310.5700000000002</v>
      </c>
      <c r="U8" s="31">
        <f t="shared" si="8"/>
        <v>-5.3221975934135489E-2</v>
      </c>
    </row>
    <row r="9" spans="2:21" ht="18" customHeight="1" x14ac:dyDescent="0.25">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83</v>
      </c>
      <c r="R9" s="42">
        <f t="shared" si="5"/>
        <v>83</v>
      </c>
      <c r="S9" s="30">
        <f t="shared" si="6"/>
        <v>0</v>
      </c>
      <c r="T9" s="30">
        <f t="shared" si="7"/>
        <v>0</v>
      </c>
      <c r="U9" s="31" t="str">
        <f t="shared" si="8"/>
        <v>- -</v>
      </c>
    </row>
    <row r="10" spans="2:21" ht="18" customHeight="1" x14ac:dyDescent="0.25">
      <c r="B10" s="32" t="str">
        <f>'Data Entry'!A10</f>
        <v>5. Cases Involving Secure Detention</v>
      </c>
      <c r="C10" s="33">
        <f>'Data Entry'!C10</f>
        <v>29</v>
      </c>
      <c r="D10" s="34">
        <f>IF(((AND(C68&gt;0,C10&gt;0))),(C10/(C68)),0)</f>
        <v>34.939759036144579</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29</v>
      </c>
      <c r="Q10" s="42">
        <f>(C$68*L68)-C10</f>
        <v>54</v>
      </c>
      <c r="R10" s="42">
        <f t="shared" si="5"/>
        <v>83</v>
      </c>
      <c r="S10" s="30">
        <f t="shared" si="6"/>
        <v>0</v>
      </c>
      <c r="T10" s="30">
        <f t="shared" si="7"/>
        <v>0</v>
      </c>
      <c r="U10" s="31" t="str">
        <f t="shared" si="8"/>
        <v>- -</v>
      </c>
    </row>
    <row r="11" spans="2:21" ht="18" customHeight="1" x14ac:dyDescent="0.25">
      <c r="B11" s="32" t="str">
        <f>'Data Entry'!A11</f>
        <v>6. Cases Petitioned (Charge Filed)</v>
      </c>
      <c r="C11" s="33">
        <f>'Data Entry'!C11</f>
        <v>76</v>
      </c>
      <c r="D11" s="34">
        <f>IF(((AND(C68&gt;0,C11&gt;0))),(C11/(C68)),0)</f>
        <v>91.566265060240966</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76</v>
      </c>
      <c r="Q11" s="42">
        <f>(C$68*L68)-C11</f>
        <v>7</v>
      </c>
      <c r="R11" s="42">
        <f t="shared" si="5"/>
        <v>83</v>
      </c>
      <c r="S11" s="30">
        <f t="shared" si="6"/>
        <v>0</v>
      </c>
      <c r="T11" s="30">
        <f t="shared" si="7"/>
        <v>0</v>
      </c>
      <c r="U11" s="31" t="str">
        <f t="shared" si="8"/>
        <v>- -</v>
      </c>
    </row>
    <row r="12" spans="2:21" ht="18" customHeight="1" x14ac:dyDescent="0.25">
      <c r="B12" s="32" t="str">
        <f>'Data Entry'!A12</f>
        <v>7. Cases Resulting in Delinquent Findings</v>
      </c>
      <c r="C12" s="33">
        <f>'Data Entry'!C12</f>
        <v>28</v>
      </c>
      <c r="D12" s="34">
        <f>IF(((AND(C69&gt;0,C12&gt;0))),(C12/(C69)),0)</f>
        <v>36.842105263157897</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28</v>
      </c>
      <c r="Q12" s="42">
        <f>(C69*L69)-C12</f>
        <v>48</v>
      </c>
      <c r="R12" s="42">
        <f t="shared" si="5"/>
        <v>76</v>
      </c>
      <c r="S12" s="30">
        <f t="shared" si="6"/>
        <v>0</v>
      </c>
      <c r="T12" s="30">
        <f t="shared" si="7"/>
        <v>0</v>
      </c>
      <c r="U12" s="31" t="str">
        <f t="shared" si="8"/>
        <v>- -</v>
      </c>
    </row>
    <row r="13" spans="2:21" ht="18" customHeight="1" x14ac:dyDescent="0.25">
      <c r="B13" s="32" t="str">
        <f>'Data Entry'!A13</f>
        <v>8. Cases Resulting in Probation Placement</v>
      </c>
      <c r="C13" s="33">
        <f>'Data Entry'!C13</f>
        <v>35</v>
      </c>
      <c r="D13" s="34">
        <f>IF(((AND(C70&gt;0,C13&gt;0))),(C13/(C70)),0)</f>
        <v>124.99999999999999</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35</v>
      </c>
      <c r="Q13" s="42">
        <f>(C70*L70)-C13</f>
        <v>-6.9999999999999964</v>
      </c>
      <c r="R13" s="42">
        <f t="shared" si="5"/>
        <v>28.000000000000004</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29</v>
      </c>
      <c r="D14" s="34">
        <f>IF(((AND(C70&gt;0,C14&gt;0))), ((C14/(C70))),0)</f>
        <v>103.57142857142856</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29</v>
      </c>
      <c r="Q14" s="42">
        <f>(C70*L70)-C14</f>
        <v>-0.99999999999999645</v>
      </c>
      <c r="R14" s="42">
        <f t="shared" si="5"/>
        <v>28.000000000000004</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76</v>
      </c>
      <c r="R15" s="42">
        <f t="shared" si="5"/>
        <v>76</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8.532</v>
      </c>
      <c r="D42" s="56">
        <f>E6/1000</f>
        <v>0</v>
      </c>
      <c r="E42" s="56">
        <f>MAX(C42:D42)</f>
        <v>8.532</v>
      </c>
      <c r="G42" s="1" t="str">
        <f>B42</f>
        <v>per 1000 youth</v>
      </c>
      <c r="L42" s="57">
        <v>1000</v>
      </c>
      <c r="M42" s="57"/>
      <c r="R42" s="49"/>
    </row>
    <row r="43" spans="2:18" ht="15" hidden="1" customHeight="1" x14ac:dyDescent="0.25">
      <c r="B43" s="49" t="s">
        <v>87</v>
      </c>
      <c r="C43" s="56">
        <f>C7/100</f>
        <v>0.04</v>
      </c>
      <c r="D43" s="56">
        <f>E7/100</f>
        <v>0</v>
      </c>
      <c r="E43" s="56">
        <f>MAX(C43:D43,0)</f>
        <v>0.04</v>
      </c>
      <c r="G43" s="1" t="str">
        <f>B43</f>
        <v>per 100 arrests</v>
      </c>
      <c r="L43" s="57">
        <v>100</v>
      </c>
      <c r="M43" s="57"/>
      <c r="R43" s="49"/>
    </row>
    <row r="44" spans="2:18" ht="15" hidden="1" customHeight="1" x14ac:dyDescent="0.25">
      <c r="B44" s="49" t="s">
        <v>88</v>
      </c>
      <c r="C44" s="56">
        <f>C8/100</f>
        <v>0.83</v>
      </c>
      <c r="D44" s="56">
        <f>E8/100</f>
        <v>0</v>
      </c>
      <c r="E44" s="56">
        <f>MAX(C44:D44,0)</f>
        <v>0.83</v>
      </c>
      <c r="G44" s="1" t="str">
        <f>B44</f>
        <v>per 100 referrals</v>
      </c>
      <c r="L44" s="57">
        <v>100</v>
      </c>
      <c r="M44" s="57"/>
      <c r="R44" s="49"/>
    </row>
    <row r="45" spans="2:18" ht="15" hidden="1" customHeight="1" x14ac:dyDescent="0.25">
      <c r="B45" s="49" t="s">
        <v>89</v>
      </c>
      <c r="C45" s="49">
        <f>C11/100</f>
        <v>0.76</v>
      </c>
      <c r="D45" s="49">
        <f>E11/100</f>
        <v>0</v>
      </c>
      <c r="E45" s="56">
        <f>MAX(C45:D45,0)</f>
        <v>0.76</v>
      </c>
      <c r="G45" s="1" t="str">
        <f>B45</f>
        <v>per 100 youth petitioned</v>
      </c>
      <c r="L45" s="57">
        <v>100</v>
      </c>
      <c r="M45" s="57"/>
      <c r="R45" s="49"/>
    </row>
    <row r="46" spans="2:18" ht="15" hidden="1" customHeight="1" x14ac:dyDescent="0.25">
      <c r="B46" s="49" t="s">
        <v>90</v>
      </c>
      <c r="C46" s="49">
        <f>C12/100</f>
        <v>0.28000000000000003</v>
      </c>
      <c r="D46" s="49">
        <f>E12/100</f>
        <v>0</v>
      </c>
      <c r="E46" s="56">
        <f>MAX(C46:D46)</f>
        <v>0.28000000000000003</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8.532</v>
      </c>
      <c r="D48" s="56">
        <f>D42</f>
        <v>0</v>
      </c>
      <c r="E48" s="56">
        <f>MAX(C48:D48)</f>
        <v>8.532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0.04</v>
      </c>
      <c r="D49" s="49">
        <f t="shared" si="9"/>
        <v>0</v>
      </c>
      <c r="E49" s="49">
        <f>MAX(C49:D49)</f>
        <v>0.04</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0.83</v>
      </c>
      <c r="D50" s="49">
        <f t="shared" si="9"/>
        <v>0</v>
      </c>
      <c r="E50" s="49">
        <f>MAX(C50:D50)</f>
        <v>0.83</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0.76</v>
      </c>
      <c r="D51" s="49">
        <f>IF(($E45&gt;0),D45,D44)</f>
        <v>0</v>
      </c>
      <c r="E51" s="49">
        <f>MAX(C51:D51)</f>
        <v>0.76</v>
      </c>
      <c r="G51" s="1" t="str">
        <f>G45</f>
        <v>per 100 youth petitioned</v>
      </c>
      <c r="L51" s="58">
        <f>IF(($E45&gt;0),L45,L44)</f>
        <v>100</v>
      </c>
      <c r="M51" s="58"/>
    </row>
    <row r="52" spans="2:18" ht="15" hidden="1" customHeight="1" x14ac:dyDescent="0.25">
      <c r="B52" s="49" t="str">
        <f>IF(($E46&gt;0),B46,B45)</f>
        <v>per 100 youth found delinquent</v>
      </c>
      <c r="C52" s="49">
        <f>IF(($E46&gt;0),C46,C45)</f>
        <v>0.28000000000000003</v>
      </c>
      <c r="D52" s="49">
        <f>IF(($E46&gt;0),D46,D45)</f>
        <v>0</v>
      </c>
      <c r="E52" s="56">
        <f>MAX(C52:D52)</f>
        <v>0.28000000000000003</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8.532</v>
      </c>
      <c r="D54" s="56">
        <f>D48</f>
        <v>0</v>
      </c>
      <c r="E54" s="56">
        <f>MAX(C54:D54)</f>
        <v>8.532</v>
      </c>
      <c r="G54" s="1" t="str">
        <f>G48</f>
        <v>per 1000 youth</v>
      </c>
      <c r="L54" s="58">
        <f>L48</f>
        <v>1000</v>
      </c>
      <c r="M54" s="58"/>
    </row>
    <row r="55" spans="2:18" ht="15" hidden="1" customHeight="1" x14ac:dyDescent="0.25">
      <c r="B55" s="49" t="str">
        <f t="shared" ref="B55:D56" si="10">IF(($E49&gt;0),B49,B48)</f>
        <v>per 100 arrests</v>
      </c>
      <c r="C55" s="49">
        <f t="shared" si="10"/>
        <v>0.04</v>
      </c>
      <c r="D55" s="49">
        <f t="shared" si="10"/>
        <v>0</v>
      </c>
      <c r="E55" s="49">
        <f>MAX(C55:D55)</f>
        <v>0.04</v>
      </c>
      <c r="G55" s="1" t="str">
        <f>G49</f>
        <v>per 100 arrests</v>
      </c>
      <c r="L55" s="58">
        <f>IF(($E49&gt;0),L49,L48)</f>
        <v>100</v>
      </c>
      <c r="M55" s="58"/>
    </row>
    <row r="56" spans="2:18" ht="15" hidden="1" customHeight="1" x14ac:dyDescent="0.25">
      <c r="B56" s="49" t="str">
        <f t="shared" si="10"/>
        <v>per 100 referrals</v>
      </c>
      <c r="C56" s="49">
        <f t="shared" si="10"/>
        <v>0.83</v>
      </c>
      <c r="D56" s="49">
        <f t="shared" si="10"/>
        <v>0</v>
      </c>
      <c r="E56" s="49">
        <f>MAX(C56:D56)</f>
        <v>0.83</v>
      </c>
      <c r="G56" s="1" t="str">
        <f>G50</f>
        <v>per 100 referrals</v>
      </c>
      <c r="L56" s="58">
        <f>IF(($E50&gt;0),L50,L49)</f>
        <v>100</v>
      </c>
      <c r="M56" s="58"/>
    </row>
    <row r="57" spans="2:18" ht="15" hidden="1" customHeight="1" x14ac:dyDescent="0.25">
      <c r="B57" s="49" t="str">
        <f>IF(($E51&gt;0),B51,B49)</f>
        <v>per 100 youth petitioned</v>
      </c>
      <c r="C57" s="49">
        <f>IF(($E51&gt;0),C51,C50)</f>
        <v>0.76</v>
      </c>
      <c r="D57" s="49">
        <f>IF(($E51&gt;0),D51,D50)</f>
        <v>0</v>
      </c>
      <c r="E57" s="49">
        <f>MAX(C57:D57)</f>
        <v>0.76</v>
      </c>
      <c r="G57" s="1" t="str">
        <f>G51</f>
        <v>per 100 youth petitioned</v>
      </c>
      <c r="L57" s="58">
        <f>IF(($E51&gt;0),L51,L50)</f>
        <v>100</v>
      </c>
      <c r="M57" s="58"/>
    </row>
    <row r="58" spans="2:18" ht="15" hidden="1" customHeight="1" x14ac:dyDescent="0.25">
      <c r="B58" s="49" t="str">
        <f>IF(($E52&gt;0),B52,B51)</f>
        <v>per 100 youth found delinquent</v>
      </c>
      <c r="C58" s="49">
        <f>IF(($E52&gt;0),C52,C51)</f>
        <v>0.28000000000000003</v>
      </c>
      <c r="D58" s="49">
        <f>IF(($E52&gt;0),D52,D51)</f>
        <v>0</v>
      </c>
      <c r="E58" s="56">
        <f>MAX(C58:D58)</f>
        <v>0.28000000000000003</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8.532</v>
      </c>
      <c r="D60" s="56">
        <f>D54</f>
        <v>0</v>
      </c>
      <c r="E60" s="56">
        <f>MAX(C60:D60)</f>
        <v>8.532</v>
      </c>
      <c r="G60" s="1" t="str">
        <f>G54</f>
        <v>per 1000 youth</v>
      </c>
      <c r="L60" s="58">
        <f>L54</f>
        <v>1000</v>
      </c>
      <c r="M60" s="58"/>
    </row>
    <row r="61" spans="2:18" ht="15" hidden="1" customHeight="1" x14ac:dyDescent="0.25">
      <c r="B61" s="49" t="str">
        <f t="shared" ref="B61:D62" si="11">IF(($E55&gt;0),B55,B54)</f>
        <v>per 100 arrests</v>
      </c>
      <c r="C61" s="49">
        <f t="shared" si="11"/>
        <v>0.04</v>
      </c>
      <c r="D61" s="49">
        <f t="shared" si="11"/>
        <v>0</v>
      </c>
      <c r="E61" s="49">
        <f>MAX(C61:D61)</f>
        <v>0.04</v>
      </c>
      <c r="G61" s="1" t="str">
        <f>G55</f>
        <v>per 100 arrests</v>
      </c>
      <c r="L61" s="58">
        <f>IF(($E55&gt;0),L55,L54)</f>
        <v>100</v>
      </c>
      <c r="M61" s="58"/>
    </row>
    <row r="62" spans="2:18" ht="15" hidden="1" customHeight="1" x14ac:dyDescent="0.25">
      <c r="B62" s="49" t="str">
        <f t="shared" si="11"/>
        <v>per 100 referrals</v>
      </c>
      <c r="C62" s="49">
        <f t="shared" si="11"/>
        <v>0.83</v>
      </c>
      <c r="D62" s="49">
        <f t="shared" si="11"/>
        <v>0</v>
      </c>
      <c r="E62" s="49">
        <f>MAX(C62:D62)</f>
        <v>0.83</v>
      </c>
      <c r="G62" s="1" t="str">
        <f>G56</f>
        <v>per 100 referrals</v>
      </c>
      <c r="L62" s="58">
        <f>IF(($E56&gt;0),L56,L55)</f>
        <v>100</v>
      </c>
      <c r="M62" s="58"/>
    </row>
    <row r="63" spans="2:18" ht="15" hidden="1" customHeight="1" x14ac:dyDescent="0.25">
      <c r="B63" s="49" t="str">
        <f>IF(($E57&gt;0),B57,B55)</f>
        <v>per 100 youth petitioned</v>
      </c>
      <c r="C63" s="49">
        <f>IF(($E57&gt;0),C57,C56)</f>
        <v>0.76</v>
      </c>
      <c r="D63" s="49">
        <f>IF(($E57&gt;0),D57,D56)</f>
        <v>0</v>
      </c>
      <c r="E63" s="49">
        <f>MAX(C63:D63)</f>
        <v>0.76</v>
      </c>
      <c r="G63" s="1" t="str">
        <f>G57</f>
        <v>per 100 youth petitioned</v>
      </c>
      <c r="L63" s="58">
        <f>IF(($E57&gt;0),L57,L56)</f>
        <v>100</v>
      </c>
      <c r="M63" s="58"/>
    </row>
    <row r="64" spans="2:18" ht="15" hidden="1" customHeight="1" x14ac:dyDescent="0.25">
      <c r="B64" s="49" t="str">
        <f>IF(($E58&gt;0),B58,B57)</f>
        <v>per 100 youth found delinquent</v>
      </c>
      <c r="C64" s="49">
        <f>IF(($E58&gt;0),C58,C57)</f>
        <v>0.28000000000000003</v>
      </c>
      <c r="D64" s="49">
        <f>IF(($E58&gt;0),D58,D57)</f>
        <v>0</v>
      </c>
      <c r="E64" s="56">
        <f>MAX(C64:D64)</f>
        <v>0.28000000000000003</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8.532</v>
      </c>
      <c r="D66" s="56">
        <f>D60</f>
        <v>0</v>
      </c>
      <c r="E66" s="56">
        <f>MAX(C66:D66)</f>
        <v>8.532</v>
      </c>
      <c r="G66" s="1" t="str">
        <f>G60</f>
        <v>per 1000 youth</v>
      </c>
      <c r="L66" s="58">
        <f>L60</f>
        <v>1000</v>
      </c>
      <c r="M66" s="58">
        <f>IF((B66=G66),1,2)</f>
        <v>1</v>
      </c>
    </row>
    <row r="67" spans="2:13" ht="15" hidden="1" customHeight="1" x14ac:dyDescent="0.25">
      <c r="B67" s="49" t="str">
        <f t="shared" ref="B67:D68" si="12">IF(($E61&gt;0),B61,B60)</f>
        <v>per 100 arrests</v>
      </c>
      <c r="C67" s="49">
        <f t="shared" si="12"/>
        <v>0.04</v>
      </c>
      <c r="D67" s="49">
        <f t="shared" si="12"/>
        <v>0</v>
      </c>
      <c r="E67" s="49">
        <f>MAX(C67:D67)</f>
        <v>0.04</v>
      </c>
      <c r="G67" s="1" t="str">
        <f>G61</f>
        <v>per 100 arrests</v>
      </c>
      <c r="L67" s="58">
        <f>IF(($E61&gt;0),L61,L60)</f>
        <v>100</v>
      </c>
      <c r="M67" s="58">
        <f>IF((B67=G67),1,2)</f>
        <v>1</v>
      </c>
    </row>
    <row r="68" spans="2:13" ht="15" hidden="1" customHeight="1" x14ac:dyDescent="0.25">
      <c r="B68" s="49" t="str">
        <f t="shared" si="12"/>
        <v>per 100 referrals</v>
      </c>
      <c r="C68" s="49">
        <f t="shared" si="12"/>
        <v>0.83</v>
      </c>
      <c r="D68" s="49">
        <f t="shared" si="12"/>
        <v>0</v>
      </c>
      <c r="E68" s="49">
        <f>MAX(C68:D68)</f>
        <v>0.83</v>
      </c>
      <c r="G68" s="1" t="str">
        <f>G62</f>
        <v>per 100 referrals</v>
      </c>
      <c r="L68" s="58">
        <f>IF(($E62&gt;0),L62,L61)</f>
        <v>100</v>
      </c>
      <c r="M68" s="58">
        <f>IF((B68=G68),1,2)</f>
        <v>1</v>
      </c>
    </row>
    <row r="69" spans="2:13" ht="15" hidden="1" customHeight="1" x14ac:dyDescent="0.25">
      <c r="B69" s="49" t="str">
        <f>IF(($E63&gt;0),B63,B61)</f>
        <v>per 100 youth petitioned</v>
      </c>
      <c r="C69" s="49">
        <f>IF(($E63&gt;0),C63,C62)</f>
        <v>0.76</v>
      </c>
      <c r="D69" s="49">
        <f>IF(($E63&gt;0),D63,D62)</f>
        <v>0</v>
      </c>
      <c r="E69" s="49">
        <f>MAX(C69:D69)</f>
        <v>0.76</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0.28000000000000003</v>
      </c>
      <c r="D70" s="49">
        <f>IF(($E64&gt;0),D64,D63)</f>
        <v>0</v>
      </c>
      <c r="E70" s="56">
        <f>MAX(C70:D70)</f>
        <v>0.28000000000000003</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Calhoun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8532</v>
      </c>
      <c r="D6" s="34"/>
      <c r="E6" s="33">
        <f>'Data Entry'!H6</f>
        <v>93</v>
      </c>
      <c r="F6" s="34"/>
      <c r="G6" s="35"/>
      <c r="H6" s="36"/>
      <c r="I6" s="37"/>
      <c r="J6" s="38"/>
      <c r="K6" s="37"/>
      <c r="L6" s="1">
        <f>IF( ('Data Entry'!H6&gt;('Data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4</v>
      </c>
      <c r="D7" s="34">
        <f>IF((AND(C66&gt;0,C7&gt;0)),(C7/C66),0)</f>
        <v>0.46882325363338023</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93</v>
      </c>
      <c r="P7" s="42">
        <f t="shared" ref="P7:P15" si="4">C7</f>
        <v>4</v>
      </c>
      <c r="Q7" s="42">
        <f>C6-C7</f>
        <v>8528</v>
      </c>
      <c r="R7" s="42">
        <f t="shared" ref="R7:R15" si="5">SUM(N7:Q7)</f>
        <v>8625</v>
      </c>
      <c r="S7" s="30">
        <f t="shared" ref="S7:S15" si="6">R7*((((N7*Q7)-(O7*P7))^2))</f>
        <v>1193562000</v>
      </c>
      <c r="T7" s="30">
        <f t="shared" ref="T7:T15" si="7">(N7+O7)*(P7+Q7)*(N7+P7)*(O7+Q7)</f>
        <v>27362226384</v>
      </c>
      <c r="U7" s="31">
        <f t="shared" ref="U7:U15" si="8">IF((S7&gt;0),S7/T7,"- -")</f>
        <v>4.362079252066757E-2</v>
      </c>
    </row>
    <row r="8" spans="2:21" ht="18" customHeight="1" x14ac:dyDescent="0.25">
      <c r="B8" s="32" t="str">
        <f>'Data Entry'!A8</f>
        <v>3. Refer to Juvenile Court</v>
      </c>
      <c r="C8" s="33">
        <f>'Data Entry'!C8</f>
        <v>83</v>
      </c>
      <c r="D8" s="34">
        <f>IF((AND(C67&gt;0,C8&gt;0)),(C8/C67),0)</f>
        <v>2075</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83</v>
      </c>
      <c r="Q8" s="42">
        <f>(C$67*L67)-C8</f>
        <v>-79</v>
      </c>
      <c r="R8" s="42">
        <f t="shared" si="5"/>
        <v>4.0499999999999972</v>
      </c>
      <c r="S8" s="30">
        <f t="shared" si="6"/>
        <v>69.751124999999959</v>
      </c>
      <c r="T8" s="30">
        <f t="shared" si="7"/>
        <v>-1310.5700000000002</v>
      </c>
      <c r="U8" s="31">
        <f t="shared" si="8"/>
        <v>-5.3221975934135489E-2</v>
      </c>
    </row>
    <row r="9" spans="2:21" ht="18" customHeight="1" x14ac:dyDescent="0.25">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83</v>
      </c>
      <c r="R9" s="42">
        <f t="shared" si="5"/>
        <v>83</v>
      </c>
      <c r="S9" s="30">
        <f t="shared" si="6"/>
        <v>0</v>
      </c>
      <c r="T9" s="30">
        <f t="shared" si="7"/>
        <v>0</v>
      </c>
      <c r="U9" s="31" t="str">
        <f t="shared" si="8"/>
        <v>- -</v>
      </c>
    </row>
    <row r="10" spans="2:21" ht="18" customHeight="1" x14ac:dyDescent="0.25">
      <c r="B10" s="32" t="str">
        <f>'Data Entry'!A10</f>
        <v>5. Cases Involving Secure Detention</v>
      </c>
      <c r="C10" s="33">
        <f>'Data Entry'!C10</f>
        <v>29</v>
      </c>
      <c r="D10" s="34">
        <f>IF(((AND(C68&gt;0,C10&gt;0))),(C10/(C68)),0)</f>
        <v>34.939759036144579</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29</v>
      </c>
      <c r="Q10" s="42">
        <f>(C$68*L68)-C10</f>
        <v>54</v>
      </c>
      <c r="R10" s="42">
        <f t="shared" si="5"/>
        <v>83</v>
      </c>
      <c r="S10" s="30">
        <f t="shared" si="6"/>
        <v>0</v>
      </c>
      <c r="T10" s="30">
        <f t="shared" si="7"/>
        <v>0</v>
      </c>
      <c r="U10" s="31" t="str">
        <f t="shared" si="8"/>
        <v>- -</v>
      </c>
    </row>
    <row r="11" spans="2:21" ht="18" customHeight="1" x14ac:dyDescent="0.25">
      <c r="B11" s="32" t="str">
        <f>'Data Entry'!A11</f>
        <v>6. Cases Petitioned (Charge Filed)</v>
      </c>
      <c r="C11" s="33">
        <f>'Data Entry'!C11</f>
        <v>76</v>
      </c>
      <c r="D11" s="34">
        <f>IF(((AND(C68&gt;0,C11&gt;0))),(C11/(C68)),0)</f>
        <v>91.566265060240966</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76</v>
      </c>
      <c r="Q11" s="42">
        <f>(C$68*L68)-C11</f>
        <v>7</v>
      </c>
      <c r="R11" s="42">
        <f t="shared" si="5"/>
        <v>83</v>
      </c>
      <c r="S11" s="30">
        <f t="shared" si="6"/>
        <v>0</v>
      </c>
      <c r="T11" s="30">
        <f t="shared" si="7"/>
        <v>0</v>
      </c>
      <c r="U11" s="31" t="str">
        <f t="shared" si="8"/>
        <v>- -</v>
      </c>
    </row>
    <row r="12" spans="2:21" ht="18" customHeight="1" x14ac:dyDescent="0.25">
      <c r="B12" s="32" t="str">
        <f>'Data Entry'!A12</f>
        <v>7. Cases Resulting in Delinquent Findings</v>
      </c>
      <c r="C12" s="33">
        <f>'Data Entry'!C12</f>
        <v>28</v>
      </c>
      <c r="D12" s="34">
        <f>IF(((AND(C69&gt;0,C12&gt;0))),(C12/(C69)),0)</f>
        <v>36.842105263157897</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28</v>
      </c>
      <c r="Q12" s="42">
        <f>(C69*L69)-C12</f>
        <v>48</v>
      </c>
      <c r="R12" s="42">
        <f t="shared" si="5"/>
        <v>76</v>
      </c>
      <c r="S12" s="30">
        <f t="shared" si="6"/>
        <v>0</v>
      </c>
      <c r="T12" s="30">
        <f t="shared" si="7"/>
        <v>0</v>
      </c>
      <c r="U12" s="31" t="str">
        <f t="shared" si="8"/>
        <v>- -</v>
      </c>
    </row>
    <row r="13" spans="2:21" ht="18" customHeight="1" x14ac:dyDescent="0.25">
      <c r="B13" s="32" t="str">
        <f>'Data Entry'!A13</f>
        <v>8. Cases Resulting in Probation Placement</v>
      </c>
      <c r="C13" s="33">
        <f>'Data Entry'!C13</f>
        <v>35</v>
      </c>
      <c r="D13" s="34">
        <f>IF(((AND(C70&gt;0,C13&gt;0))),(C13/(C70)),0)</f>
        <v>124.99999999999999</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35</v>
      </c>
      <c r="Q13" s="42">
        <f>(C70*L70)-C13</f>
        <v>-6.9999999999999964</v>
      </c>
      <c r="R13" s="42">
        <f t="shared" si="5"/>
        <v>28.000000000000004</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29</v>
      </c>
      <c r="D14" s="34">
        <f>IF(((AND(C70&gt;0,C14&gt;0))), ((C14/(C70))),0)</f>
        <v>103.57142857142856</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29</v>
      </c>
      <c r="Q14" s="42">
        <f>(C70*L70)-C14</f>
        <v>-0.99999999999999645</v>
      </c>
      <c r="R14" s="42">
        <f t="shared" si="5"/>
        <v>28.000000000000004</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76</v>
      </c>
      <c r="R15" s="42">
        <f t="shared" si="5"/>
        <v>76</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8.532</v>
      </c>
      <c r="D42" s="56">
        <f>E6/1000</f>
        <v>9.2999999999999999E-2</v>
      </c>
      <c r="E42" s="56">
        <f>MAX(C42:D42)</f>
        <v>8.532</v>
      </c>
      <c r="G42" s="1" t="str">
        <f>B42</f>
        <v>per 1000 youth</v>
      </c>
      <c r="L42" s="57">
        <v>1000</v>
      </c>
      <c r="M42" s="57"/>
      <c r="R42" s="49"/>
    </row>
    <row r="43" spans="2:18" ht="15" hidden="1" customHeight="1" x14ac:dyDescent="0.25">
      <c r="B43" s="49" t="s">
        <v>87</v>
      </c>
      <c r="C43" s="56">
        <f>C7/100</f>
        <v>0.04</v>
      </c>
      <c r="D43" s="56">
        <f>E7/100</f>
        <v>0</v>
      </c>
      <c r="E43" s="56">
        <f>MAX(C43:D43,0)</f>
        <v>0.04</v>
      </c>
      <c r="G43" s="1" t="str">
        <f>B43</f>
        <v>per 100 arrests</v>
      </c>
      <c r="L43" s="57">
        <v>100</v>
      </c>
      <c r="M43" s="57"/>
      <c r="R43" s="49"/>
    </row>
    <row r="44" spans="2:18" ht="15" hidden="1" customHeight="1" x14ac:dyDescent="0.25">
      <c r="B44" s="49" t="s">
        <v>88</v>
      </c>
      <c r="C44" s="56">
        <f>C8/100</f>
        <v>0.83</v>
      </c>
      <c r="D44" s="56">
        <f>E8/100</f>
        <v>0</v>
      </c>
      <c r="E44" s="56">
        <f>MAX(C44:D44,0)</f>
        <v>0.83</v>
      </c>
      <c r="G44" s="1" t="str">
        <f>B44</f>
        <v>per 100 referrals</v>
      </c>
      <c r="L44" s="57">
        <v>100</v>
      </c>
      <c r="M44" s="57"/>
      <c r="R44" s="49"/>
    </row>
    <row r="45" spans="2:18" ht="15" hidden="1" customHeight="1" x14ac:dyDescent="0.25">
      <c r="B45" s="49" t="s">
        <v>89</v>
      </c>
      <c r="C45" s="49">
        <f>C11/100</f>
        <v>0.76</v>
      </c>
      <c r="D45" s="49">
        <f>E11/100</f>
        <v>0</v>
      </c>
      <c r="E45" s="56">
        <f>MAX(C45:D45,0)</f>
        <v>0.76</v>
      </c>
      <c r="G45" s="1" t="str">
        <f>B45</f>
        <v>per 100 youth petitioned</v>
      </c>
      <c r="L45" s="57">
        <v>100</v>
      </c>
      <c r="M45" s="57"/>
      <c r="R45" s="49"/>
    </row>
    <row r="46" spans="2:18" ht="15" hidden="1" customHeight="1" x14ac:dyDescent="0.25">
      <c r="B46" s="49" t="s">
        <v>90</v>
      </c>
      <c r="C46" s="49">
        <f>C12/100</f>
        <v>0.28000000000000003</v>
      </c>
      <c r="D46" s="49">
        <f>E12/100</f>
        <v>0</v>
      </c>
      <c r="E46" s="56">
        <f>MAX(C46:D46)</f>
        <v>0.28000000000000003</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8.532</v>
      </c>
      <c r="D48" s="56">
        <f>D42</f>
        <v>9.2999999999999999E-2</v>
      </c>
      <c r="E48" s="56">
        <f>MAX(C48:D48)</f>
        <v>8.532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0.04</v>
      </c>
      <c r="D49" s="49">
        <f t="shared" si="9"/>
        <v>0</v>
      </c>
      <c r="E49" s="49">
        <f>MAX(C49:D49)</f>
        <v>0.04</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0.83</v>
      </c>
      <c r="D50" s="49">
        <f t="shared" si="9"/>
        <v>0</v>
      </c>
      <c r="E50" s="49">
        <f>MAX(C50:D50)</f>
        <v>0.83</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0.76</v>
      </c>
      <c r="D51" s="49">
        <f>IF(($E45&gt;0),D45,D44)</f>
        <v>0</v>
      </c>
      <c r="E51" s="49">
        <f>MAX(C51:D51)</f>
        <v>0.76</v>
      </c>
      <c r="G51" s="1" t="str">
        <f>G45</f>
        <v>per 100 youth petitioned</v>
      </c>
      <c r="L51" s="58">
        <f>IF(($E45&gt;0),L45,L44)</f>
        <v>100</v>
      </c>
      <c r="M51" s="58"/>
    </row>
    <row r="52" spans="2:18" ht="15" hidden="1" customHeight="1" x14ac:dyDescent="0.25">
      <c r="B52" s="49" t="str">
        <f>IF(($E46&gt;0),B46,B45)</f>
        <v>per 100 youth found delinquent</v>
      </c>
      <c r="C52" s="49">
        <f>IF(($E46&gt;0),C46,C45)</f>
        <v>0.28000000000000003</v>
      </c>
      <c r="D52" s="49">
        <f>IF(($E46&gt;0),D46,D45)</f>
        <v>0</v>
      </c>
      <c r="E52" s="56">
        <f>MAX(C52:D52)</f>
        <v>0.28000000000000003</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8.532</v>
      </c>
      <c r="D54" s="56">
        <f>D48</f>
        <v>9.2999999999999999E-2</v>
      </c>
      <c r="E54" s="56">
        <f>MAX(C54:D54)</f>
        <v>8.532</v>
      </c>
      <c r="G54" s="1" t="str">
        <f>G48</f>
        <v>per 1000 youth</v>
      </c>
      <c r="L54" s="58">
        <f>L48</f>
        <v>1000</v>
      </c>
      <c r="M54" s="58"/>
    </row>
    <row r="55" spans="2:18" ht="15" hidden="1" customHeight="1" x14ac:dyDescent="0.25">
      <c r="B55" s="49" t="str">
        <f t="shared" ref="B55:D56" si="10">IF(($E49&gt;0),B49,B48)</f>
        <v>per 100 arrests</v>
      </c>
      <c r="C55" s="49">
        <f t="shared" si="10"/>
        <v>0.04</v>
      </c>
      <c r="D55" s="49">
        <f t="shared" si="10"/>
        <v>0</v>
      </c>
      <c r="E55" s="49">
        <f>MAX(C55:D55)</f>
        <v>0.04</v>
      </c>
      <c r="G55" s="1" t="str">
        <f>G49</f>
        <v>per 100 arrests</v>
      </c>
      <c r="L55" s="58">
        <f>IF(($E49&gt;0),L49,L48)</f>
        <v>100</v>
      </c>
      <c r="M55" s="58"/>
    </row>
    <row r="56" spans="2:18" ht="15" hidden="1" customHeight="1" x14ac:dyDescent="0.25">
      <c r="B56" s="49" t="str">
        <f t="shared" si="10"/>
        <v>per 100 referrals</v>
      </c>
      <c r="C56" s="49">
        <f t="shared" si="10"/>
        <v>0.83</v>
      </c>
      <c r="D56" s="49">
        <f t="shared" si="10"/>
        <v>0</v>
      </c>
      <c r="E56" s="49">
        <f>MAX(C56:D56)</f>
        <v>0.83</v>
      </c>
      <c r="G56" s="1" t="str">
        <f>G50</f>
        <v>per 100 referrals</v>
      </c>
      <c r="L56" s="58">
        <f>IF(($E50&gt;0),L50,L49)</f>
        <v>100</v>
      </c>
      <c r="M56" s="58"/>
    </row>
    <row r="57" spans="2:18" ht="15" hidden="1" customHeight="1" x14ac:dyDescent="0.25">
      <c r="B57" s="49" t="str">
        <f>IF(($E51&gt;0),B51,B49)</f>
        <v>per 100 youth petitioned</v>
      </c>
      <c r="C57" s="49">
        <f>IF(($E51&gt;0),C51,C50)</f>
        <v>0.76</v>
      </c>
      <c r="D57" s="49">
        <f>IF(($E51&gt;0),D51,D50)</f>
        <v>0</v>
      </c>
      <c r="E57" s="49">
        <f>MAX(C57:D57)</f>
        <v>0.76</v>
      </c>
      <c r="G57" s="1" t="str">
        <f>G51</f>
        <v>per 100 youth petitioned</v>
      </c>
      <c r="L57" s="58">
        <f>IF(($E51&gt;0),L51,L50)</f>
        <v>100</v>
      </c>
      <c r="M57" s="58"/>
    </row>
    <row r="58" spans="2:18" ht="15" hidden="1" customHeight="1" x14ac:dyDescent="0.25">
      <c r="B58" s="49" t="str">
        <f>IF(($E52&gt;0),B52,B51)</f>
        <v>per 100 youth found delinquent</v>
      </c>
      <c r="C58" s="49">
        <f>IF(($E52&gt;0),C52,C51)</f>
        <v>0.28000000000000003</v>
      </c>
      <c r="D58" s="49">
        <f>IF(($E52&gt;0),D52,D51)</f>
        <v>0</v>
      </c>
      <c r="E58" s="56">
        <f>MAX(C58:D58)</f>
        <v>0.28000000000000003</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8.532</v>
      </c>
      <c r="D60" s="56">
        <f>D54</f>
        <v>9.2999999999999999E-2</v>
      </c>
      <c r="E60" s="56">
        <f>MAX(C60:D60)</f>
        <v>8.532</v>
      </c>
      <c r="G60" s="1" t="str">
        <f>G54</f>
        <v>per 1000 youth</v>
      </c>
      <c r="L60" s="58">
        <f>L54</f>
        <v>1000</v>
      </c>
      <c r="M60" s="58"/>
    </row>
    <row r="61" spans="2:18" ht="15" hidden="1" customHeight="1" x14ac:dyDescent="0.25">
      <c r="B61" s="49" t="str">
        <f t="shared" ref="B61:D62" si="11">IF(($E55&gt;0),B55,B54)</f>
        <v>per 100 arrests</v>
      </c>
      <c r="C61" s="49">
        <f t="shared" si="11"/>
        <v>0.04</v>
      </c>
      <c r="D61" s="49">
        <f t="shared" si="11"/>
        <v>0</v>
      </c>
      <c r="E61" s="49">
        <f>MAX(C61:D61)</f>
        <v>0.04</v>
      </c>
      <c r="G61" s="1" t="str">
        <f>G55</f>
        <v>per 100 arrests</v>
      </c>
      <c r="L61" s="58">
        <f>IF(($E55&gt;0),L55,L54)</f>
        <v>100</v>
      </c>
      <c r="M61" s="58"/>
    </row>
    <row r="62" spans="2:18" ht="15" hidden="1" customHeight="1" x14ac:dyDescent="0.25">
      <c r="B62" s="49" t="str">
        <f t="shared" si="11"/>
        <v>per 100 referrals</v>
      </c>
      <c r="C62" s="49">
        <f t="shared" si="11"/>
        <v>0.83</v>
      </c>
      <c r="D62" s="49">
        <f t="shared" si="11"/>
        <v>0</v>
      </c>
      <c r="E62" s="49">
        <f>MAX(C62:D62)</f>
        <v>0.83</v>
      </c>
      <c r="G62" s="1" t="str">
        <f>G56</f>
        <v>per 100 referrals</v>
      </c>
      <c r="L62" s="58">
        <f>IF(($E56&gt;0),L56,L55)</f>
        <v>100</v>
      </c>
      <c r="M62" s="58"/>
    </row>
    <row r="63" spans="2:18" ht="15" hidden="1" customHeight="1" x14ac:dyDescent="0.25">
      <c r="B63" s="49" t="str">
        <f>IF(($E57&gt;0),B57,B55)</f>
        <v>per 100 youth petitioned</v>
      </c>
      <c r="C63" s="49">
        <f>IF(($E57&gt;0),C57,C56)</f>
        <v>0.76</v>
      </c>
      <c r="D63" s="49">
        <f>IF(($E57&gt;0),D57,D56)</f>
        <v>0</v>
      </c>
      <c r="E63" s="49">
        <f>MAX(C63:D63)</f>
        <v>0.76</v>
      </c>
      <c r="G63" s="1" t="str">
        <f>G57</f>
        <v>per 100 youth petitioned</v>
      </c>
      <c r="L63" s="58">
        <f>IF(($E57&gt;0),L57,L56)</f>
        <v>100</v>
      </c>
      <c r="M63" s="58"/>
    </row>
    <row r="64" spans="2:18" ht="15" hidden="1" customHeight="1" x14ac:dyDescent="0.25">
      <c r="B64" s="49" t="str">
        <f>IF(($E58&gt;0),B58,B57)</f>
        <v>per 100 youth found delinquent</v>
      </c>
      <c r="C64" s="49">
        <f>IF(($E58&gt;0),C58,C57)</f>
        <v>0.28000000000000003</v>
      </c>
      <c r="D64" s="49">
        <f>IF(($E58&gt;0),D58,D57)</f>
        <v>0</v>
      </c>
      <c r="E64" s="56">
        <f>MAX(C64:D64)</f>
        <v>0.28000000000000003</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8.532</v>
      </c>
      <c r="D66" s="56">
        <f>D60</f>
        <v>9.2999999999999999E-2</v>
      </c>
      <c r="E66" s="56">
        <f>MAX(C66:D66)</f>
        <v>8.532</v>
      </c>
      <c r="G66" s="1" t="str">
        <f>G60</f>
        <v>per 1000 youth</v>
      </c>
      <c r="L66" s="58">
        <f>L60</f>
        <v>1000</v>
      </c>
      <c r="M66" s="58">
        <f>IF((B66=G66),1,2)</f>
        <v>1</v>
      </c>
    </row>
    <row r="67" spans="2:13" ht="15" hidden="1" customHeight="1" x14ac:dyDescent="0.25">
      <c r="B67" s="49" t="str">
        <f t="shared" ref="B67:D68" si="12">IF(($E61&gt;0),B61,B60)</f>
        <v>per 100 arrests</v>
      </c>
      <c r="C67" s="49">
        <f t="shared" si="12"/>
        <v>0.04</v>
      </c>
      <c r="D67" s="49">
        <f t="shared" si="12"/>
        <v>0</v>
      </c>
      <c r="E67" s="49">
        <f>MAX(C67:D67)</f>
        <v>0.04</v>
      </c>
      <c r="G67" s="1" t="str">
        <f>G61</f>
        <v>per 100 arrests</v>
      </c>
      <c r="L67" s="58">
        <f>IF(($E61&gt;0),L61,L60)</f>
        <v>100</v>
      </c>
      <c r="M67" s="58">
        <f>IF((B67=G67),1,2)</f>
        <v>1</v>
      </c>
    </row>
    <row r="68" spans="2:13" ht="15" hidden="1" customHeight="1" x14ac:dyDescent="0.25">
      <c r="B68" s="49" t="str">
        <f t="shared" si="12"/>
        <v>per 100 referrals</v>
      </c>
      <c r="C68" s="49">
        <f t="shared" si="12"/>
        <v>0.83</v>
      </c>
      <c r="D68" s="49">
        <f t="shared" si="12"/>
        <v>0</v>
      </c>
      <c r="E68" s="49">
        <f>MAX(C68:D68)</f>
        <v>0.83</v>
      </c>
      <c r="G68" s="1" t="str">
        <f>G62</f>
        <v>per 100 referrals</v>
      </c>
      <c r="L68" s="58">
        <f>IF(($E62&gt;0),L62,L61)</f>
        <v>100</v>
      </c>
      <c r="M68" s="58">
        <f>IF((B68=G68),1,2)</f>
        <v>1</v>
      </c>
    </row>
    <row r="69" spans="2:13" ht="15" hidden="1" customHeight="1" x14ac:dyDescent="0.25">
      <c r="B69" s="49" t="str">
        <f>IF(($E63&gt;0),B63,B61)</f>
        <v>per 100 youth petitioned</v>
      </c>
      <c r="C69" s="49">
        <f>IF(($E63&gt;0),C63,C62)</f>
        <v>0.76</v>
      </c>
      <c r="D69" s="49">
        <f>IF(($E63&gt;0),D63,D62)</f>
        <v>0</v>
      </c>
      <c r="E69" s="49">
        <f>MAX(C69:D69)</f>
        <v>0.76</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0.28000000000000003</v>
      </c>
      <c r="D70" s="49">
        <f>IF(($E64&gt;0),D64,D63)</f>
        <v>0</v>
      </c>
      <c r="E70" s="56">
        <f>MAX(C70:D70)</f>
        <v>0.28000000000000003</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U47JMPN4QEAR-1806752177-30159</_dlc_DocId>
    <_dlc_DocIdUrl xmlns="ac3811b5-0f3e-49e2-ba69-f2ffa0c782af">
      <Url>https://michiganphi.sharepoint.com/sites/CMDMC/_layouts/15/DocIdRedir.aspx?ID=U47JMPN4QEAR-1806752177-30159</Url>
      <Description>U47JMPN4QEAR-1806752177-30159</Description>
    </_dlc_DocIdUrl>
  </documentManagement>
</p:properties>
</file>

<file path=customXml/itemProps1.xml><?xml version="1.0" encoding="utf-8"?>
<ds:datastoreItem xmlns:ds="http://schemas.openxmlformats.org/officeDocument/2006/customXml" ds:itemID="{B826DB48-4749-4918-851C-A3BED6630A2C}"/>
</file>

<file path=customXml/itemProps2.xml><?xml version="1.0" encoding="utf-8"?>
<ds:datastoreItem xmlns:ds="http://schemas.openxmlformats.org/officeDocument/2006/customXml" ds:itemID="{AE1DC60B-CA41-45B4-AABD-51CAC0968F4B}"/>
</file>

<file path=customXml/itemProps3.xml><?xml version="1.0" encoding="utf-8"?>
<ds:datastoreItem xmlns:ds="http://schemas.openxmlformats.org/officeDocument/2006/customXml" ds:itemID="{A401EAB2-8577-43E1-BDE6-297DA8E6FB4E}"/>
</file>

<file path=customXml/itemProps4.xml><?xml version="1.0" encoding="utf-8"?>
<ds:datastoreItem xmlns:ds="http://schemas.openxmlformats.org/officeDocument/2006/customXml" ds:itemID="{B12F8FB1-31D5-4E77-B62C-E39F2EC445D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b35d75c6-678e-4883-8c4f-315937c0b7cf</vt:lpwstr>
  </property>
</Properties>
</file>