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5" documentId="8_{F092F2C5-4C44-4CA2-B040-05A356622E86}" xr6:coauthVersionLast="47" xr6:coauthVersionMax="47" xr10:uidLastSave="{5402B5C8-8E1D-41CD-BD2B-60FCBE4932CB}"/>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15" i="1"/>
  <c r="B14" i="1"/>
  <c r="B13" i="1"/>
  <c r="B12" i="1"/>
  <c r="B11" i="1"/>
  <c r="B10" i="1"/>
  <c r="B9" i="1"/>
  <c r="B8"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4"/>
  <c r="M66" i="4"/>
  <c r="F27" i="2"/>
  <c r="M66" i="2"/>
  <c r="M66" i="8"/>
  <c r="F27" i="8"/>
  <c r="M66" i="7"/>
  <c r="F27" i="7"/>
  <c r="F27" i="6"/>
  <c r="M66" i="6"/>
  <c r="M66" i="3"/>
  <c r="F27"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C49" i="7" s="1"/>
  <c r="E46" i="7"/>
  <c r="E44" i="6"/>
  <c r="L50" i="6"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B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L49" i="7"/>
  <c r="D49" i="7"/>
  <c r="B50" i="6"/>
  <c r="C50" i="6"/>
  <c r="D50" i="6"/>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C54" i="7"/>
  <c r="E48" i="7"/>
  <c r="E49" i="6"/>
  <c r="E49" i="7"/>
  <c r="E48" i="5"/>
  <c r="C54" i="5"/>
  <c r="C54" i="6"/>
  <c r="E48" i="6"/>
  <c r="B51" i="6"/>
  <c r="D51" i="6"/>
  <c r="C51" i="6"/>
  <c r="L51" i="6"/>
  <c r="E49" i="5" l="1"/>
  <c r="L51" i="2"/>
  <c r="E50" i="6"/>
  <c r="L56" i="6" s="1"/>
  <c r="D51" i="2"/>
  <c r="E51" i="2"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8" i="5"/>
  <c r="E50" i="7"/>
  <c r="C60" i="2"/>
  <c r="E54" i="2"/>
  <c r="C60" i="6"/>
  <c r="E54" i="6"/>
  <c r="C55" i="2"/>
  <c r="D55" i="2"/>
  <c r="B55" i="2"/>
  <c r="L55" i="2"/>
  <c r="D58" i="5"/>
  <c r="C60" i="4"/>
  <c r="E54" i="4"/>
  <c r="C60" i="5"/>
  <c r="E54" i="5"/>
  <c r="E54" i="7"/>
  <c r="C60" i="7"/>
  <c r="B58" i="6"/>
  <c r="D58" i="6"/>
  <c r="C58" i="6"/>
  <c r="L58" i="6"/>
  <c r="E51" i="5"/>
  <c r="E60" i="8"/>
  <c r="C66" i="8"/>
  <c r="C60" i="3"/>
  <c r="E54" i="3"/>
  <c r="E52" i="2"/>
  <c r="D56" i="6" l="1"/>
  <c r="B56" i="6"/>
  <c r="C56" i="6"/>
  <c r="E56" i="6" s="1"/>
  <c r="D58" i="8"/>
  <c r="L58" i="8"/>
  <c r="B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5" i="6"/>
  <c r="E55" i="7"/>
  <c r="E58" i="7"/>
  <c r="L64" i="3" l="1"/>
  <c r="C64" i="5"/>
  <c r="B56" i="8"/>
  <c r="D64" i="5"/>
  <c r="E64" i="5" s="1"/>
  <c r="C57" i="8"/>
  <c r="C64" i="8" s="1"/>
  <c r="L56" i="8"/>
  <c r="B57" i="8"/>
  <c r="B64" i="8" s="1"/>
  <c r="B64" i="5"/>
  <c r="L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Q8" i="13" l="1"/>
  <c r="I7" i="9"/>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C69" i="7" l="1"/>
  <c r="D12" i="7" s="1"/>
  <c r="D63" i="8"/>
  <c r="B70" i="3"/>
  <c r="M70" i="3" s="1"/>
  <c r="E63" i="3"/>
  <c r="C69" i="3" s="1"/>
  <c r="D15" i="3" s="1"/>
  <c r="D70" i="6"/>
  <c r="F14" i="6" s="1"/>
  <c r="L69" i="7"/>
  <c r="C63" i="8"/>
  <c r="L63" i="8"/>
  <c r="L70" i="8"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5" i="7" l="1"/>
  <c r="Q12" i="7"/>
  <c r="E70" i="6"/>
  <c r="F34" i="3"/>
  <c r="E63" i="8"/>
  <c r="D69" i="8" s="1"/>
  <c r="F15" i="8" s="1"/>
  <c r="F33" i="3"/>
  <c r="D13" i="3"/>
  <c r="L69" i="3"/>
  <c r="Q12" i="3" s="1"/>
  <c r="C70" i="8"/>
  <c r="Q13" i="8" s="1"/>
  <c r="F14" i="3"/>
  <c r="F13" i="6"/>
  <c r="E70" i="3"/>
  <c r="B69" i="6"/>
  <c r="M69" i="6" s="1"/>
  <c r="D13" i="6"/>
  <c r="O14" i="6"/>
  <c r="D12" i="3"/>
  <c r="B69" i="3"/>
  <c r="M69" i="3" s="1"/>
  <c r="D69" i="3"/>
  <c r="E69" i="3" s="1"/>
  <c r="O13" i="3"/>
  <c r="O13" i="6"/>
  <c r="E69" i="7"/>
  <c r="Q15" i="7"/>
  <c r="C69" i="6"/>
  <c r="D12" i="6" s="1"/>
  <c r="Q14" i="3"/>
  <c r="F12" i="7"/>
  <c r="O12" i="7"/>
  <c r="T12" i="7" s="1"/>
  <c r="D14" i="6"/>
  <c r="O15" i="7"/>
  <c r="Q13" i="3"/>
  <c r="Q13" i="6"/>
  <c r="Q14" i="6"/>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O13" i="8"/>
  <c r="R10" i="3"/>
  <c r="S10" i="3" s="1"/>
  <c r="F8" i="2"/>
  <c r="O14" i="8"/>
  <c r="F14" i="8"/>
  <c r="T14" i="4"/>
  <c r="B70" i="2"/>
  <c r="F33" i="2" s="1"/>
  <c r="D69" i="5"/>
  <c r="O15" i="5" s="1"/>
  <c r="T13" i="5"/>
  <c r="F34" i="7"/>
  <c r="M70" i="7"/>
  <c r="O13" i="7"/>
  <c r="K11" i="3"/>
  <c r="R11" i="3"/>
  <c r="S11" i="3" s="1"/>
  <c r="U11" i="3" s="1"/>
  <c r="J11" i="3" s="1"/>
  <c r="M11" i="3" s="1"/>
  <c r="L68" i="7"/>
  <c r="Q9" i="7" s="1"/>
  <c r="C69" i="5"/>
  <c r="Q12" i="5" s="1"/>
  <c r="B69" i="5"/>
  <c r="F32" i="5" s="1"/>
  <c r="D68" i="7"/>
  <c r="E68" i="7" s="1"/>
  <c r="B68" i="7"/>
  <c r="F31" i="7" s="1"/>
  <c r="K9" i="3"/>
  <c r="K10" i="3"/>
  <c r="R14" i="4"/>
  <c r="S14" i="4" s="1"/>
  <c r="D13" i="7"/>
  <c r="R9" i="3"/>
  <c r="S9" i="3" s="1"/>
  <c r="T9" i="3"/>
  <c r="F34" i="8"/>
  <c r="R14" i="5"/>
  <c r="S14" i="5" s="1"/>
  <c r="U14" i="5" s="1"/>
  <c r="J14" i="5" s="1"/>
  <c r="M14" i="5" s="1"/>
  <c r="F33" i="8"/>
  <c r="C70" i="2"/>
  <c r="D14" i="2" s="1"/>
  <c r="T14" i="5"/>
  <c r="K14" i="5"/>
  <c r="D70" i="2"/>
  <c r="O14" i="2" s="1"/>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U14" i="4" l="1"/>
  <c r="J14" i="4" s="1"/>
  <c r="M14" i="4" s="1"/>
  <c r="G14" i="4" s="1"/>
  <c r="G15" i="16" s="1"/>
  <c r="U13" i="4"/>
  <c r="J13" i="4" s="1"/>
  <c r="L13" i="4" s="1"/>
  <c r="O14" i="16" s="1"/>
  <c r="F12" i="8"/>
  <c r="C69" i="8"/>
  <c r="D15" i="8" s="1"/>
  <c r="L69" i="8"/>
  <c r="O15" i="8" s="1"/>
  <c r="B69" i="8"/>
  <c r="M69" i="8" s="1"/>
  <c r="K14" i="6"/>
  <c r="U10" i="3"/>
  <c r="J10" i="3" s="1"/>
  <c r="M10" i="3" s="1"/>
  <c r="G10" i="3" s="1"/>
  <c r="I11" i="16" s="1"/>
  <c r="Q15" i="3"/>
  <c r="G11" i="3"/>
  <c r="I12" i="16" s="1"/>
  <c r="U9" i="4"/>
  <c r="J9" i="4" s="1"/>
  <c r="M9" i="4" s="1"/>
  <c r="G9" i="4" s="1"/>
  <c r="E70" i="8"/>
  <c r="Q14" i="8"/>
  <c r="R14" i="8" s="1"/>
  <c r="S14" i="8" s="1"/>
  <c r="R13" i="8"/>
  <c r="S13" i="8" s="1"/>
  <c r="D14" i="8"/>
  <c r="D13" i="8"/>
  <c r="O12" i="3"/>
  <c r="R12" i="3" s="1"/>
  <c r="S12" i="3" s="1"/>
  <c r="F15" i="3"/>
  <c r="R13" i="6"/>
  <c r="S13" i="6" s="1"/>
  <c r="U13" i="6" s="1"/>
  <c r="J13" i="6" s="1"/>
  <c r="M13" i="6" s="1"/>
  <c r="G13" i="6" s="1"/>
  <c r="G13" i="9" s="1"/>
  <c r="F32" i="6"/>
  <c r="F35" i="6"/>
  <c r="K13" i="6"/>
  <c r="T13" i="6"/>
  <c r="F35" i="3"/>
  <c r="R14" i="3"/>
  <c r="S14" i="3" s="1"/>
  <c r="O12" i="6"/>
  <c r="K13" i="3"/>
  <c r="O15" i="3"/>
  <c r="K15" i="3" s="1"/>
  <c r="K12" i="7"/>
  <c r="F32" i="3"/>
  <c r="F12" i="3"/>
  <c r="R14" i="6"/>
  <c r="S14" i="6" s="1"/>
  <c r="U14" i="6" s="1"/>
  <c r="J14" i="6" s="1"/>
  <c r="M14" i="6" s="1"/>
  <c r="G14" i="6" s="1"/>
  <c r="M15" i="13" s="1"/>
  <c r="U10" i="4"/>
  <c r="J10" i="4" s="1"/>
  <c r="M10" i="4" s="1"/>
  <c r="G10" i="4" s="1"/>
  <c r="G11" i="16" s="1"/>
  <c r="T14" i="6"/>
  <c r="D15" i="6"/>
  <c r="T15" i="7"/>
  <c r="R15" i="7"/>
  <c r="S15" i="7" s="1"/>
  <c r="R12" i="7"/>
  <c r="S12" i="7" s="1"/>
  <c r="U12" i="7" s="1"/>
  <c r="J12" i="7" s="1"/>
  <c r="T13" i="8"/>
  <c r="E69" i="6"/>
  <c r="T13" i="3"/>
  <c r="K14" i="3"/>
  <c r="T14" i="3"/>
  <c r="K15" i="7"/>
  <c r="R13" i="3"/>
  <c r="S13" i="3" s="1"/>
  <c r="U13" i="3" s="1"/>
  <c r="J13" i="3" s="1"/>
  <c r="M13" i="3" s="1"/>
  <c r="O15" i="6"/>
  <c r="Q12" i="6"/>
  <c r="Q15" i="6"/>
  <c r="F15" i="6"/>
  <c r="L11" i="4"/>
  <c r="O12" i="16" s="1"/>
  <c r="K8" i="7"/>
  <c r="O13" i="2"/>
  <c r="O12" i="8"/>
  <c r="T8" i="7"/>
  <c r="U8" i="7" s="1"/>
  <c r="J8" i="7" s="1"/>
  <c r="M8" i="7" s="1"/>
  <c r="T13" i="7"/>
  <c r="Q10" i="7"/>
  <c r="F13" i="2"/>
  <c r="Q11" i="7"/>
  <c r="R8" i="6"/>
  <c r="S8" i="6" s="1"/>
  <c r="F14" i="2"/>
  <c r="F10" i="7"/>
  <c r="F30" i="7"/>
  <c r="M68" i="7"/>
  <c r="F29" i="7"/>
  <c r="F15" i="5"/>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D13" i="2"/>
  <c r="E70" i="2"/>
  <c r="Q14" i="2"/>
  <c r="K14" i="2" s="1"/>
  <c r="R13" i="7"/>
  <c r="S13" i="7" s="1"/>
  <c r="Q13" i="2"/>
  <c r="U9" i="3"/>
  <c r="J9" i="3" s="1"/>
  <c r="L9" i="3" s="1"/>
  <c r="N30" i="5"/>
  <c r="L14" i="5"/>
  <c r="Q15" i="16" s="1"/>
  <c r="L13" i="5"/>
  <c r="Q14" i="16" s="1"/>
  <c r="K13" i="7"/>
  <c r="T8" i="2"/>
  <c r="U8" i="2" s="1"/>
  <c r="J8" i="2" s="1"/>
  <c r="M11" i="4"/>
  <c r="G11" i="4" s="1"/>
  <c r="T14" i="7"/>
  <c r="U14" i="7" s="1"/>
  <c r="J14" i="7" s="1"/>
  <c r="K14" i="7"/>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4" i="4" l="1"/>
  <c r="O15" i="16" s="1"/>
  <c r="N30" i="4"/>
  <c r="M13" i="4"/>
  <c r="G13" i="4" s="1"/>
  <c r="G14" i="16" s="1"/>
  <c r="D12" i="8"/>
  <c r="E69" i="8"/>
  <c r="F35" i="8"/>
  <c r="F32" i="8"/>
  <c r="Q15" i="8"/>
  <c r="R15" i="8" s="1"/>
  <c r="S15" i="8" s="1"/>
  <c r="Q12" i="8"/>
  <c r="R12" i="8" s="1"/>
  <c r="S12" i="8" s="1"/>
  <c r="L10" i="3"/>
  <c r="P11" i="16" s="1"/>
  <c r="L9" i="4"/>
  <c r="O10" i="16" s="1"/>
  <c r="T12" i="3"/>
  <c r="U12" i="3" s="1"/>
  <c r="J12" i="3" s="1"/>
  <c r="M12" i="3" s="1"/>
  <c r="G12" i="3" s="1"/>
  <c r="I13" i="16" s="1"/>
  <c r="I11" i="13"/>
  <c r="E10" i="9"/>
  <c r="E11" i="9"/>
  <c r="I12" i="13"/>
  <c r="G13" i="3"/>
  <c r="I14" i="13" s="1"/>
  <c r="U14" i="3"/>
  <c r="J14" i="3" s="1"/>
  <c r="M14" i="3" s="1"/>
  <c r="G14" i="3" s="1"/>
  <c r="I15" i="16" s="1"/>
  <c r="T14" i="8"/>
  <c r="U14" i="8" s="1"/>
  <c r="J14" i="8" s="1"/>
  <c r="N30" i="8" s="1"/>
  <c r="K12" i="3"/>
  <c r="K14" i="8"/>
  <c r="G10" i="16"/>
  <c r="G10" i="13"/>
  <c r="D9" i="9"/>
  <c r="U13" i="8"/>
  <c r="J13" i="8" s="1"/>
  <c r="M13" i="8" s="1"/>
  <c r="G13" i="8" s="1"/>
  <c r="K14" i="16" s="1"/>
  <c r="L13" i="6"/>
  <c r="R14" i="16" s="1"/>
  <c r="M14" i="13"/>
  <c r="U13" i="7"/>
  <c r="J13" i="7" s="1"/>
  <c r="M13" i="7" s="1"/>
  <c r="R15" i="3"/>
  <c r="S15" i="3" s="1"/>
  <c r="T12" i="6"/>
  <c r="U15" i="7"/>
  <c r="J15" i="7" s="1"/>
  <c r="L15" i="7" s="1"/>
  <c r="S16" i="16" s="1"/>
  <c r="L10" i="4"/>
  <c r="O11" i="16" s="1"/>
  <c r="D10" i="9"/>
  <c r="K12" i="6"/>
  <c r="R12" i="6"/>
  <c r="S12" i="6" s="1"/>
  <c r="U12" i="6" s="1"/>
  <c r="J12" i="6" s="1"/>
  <c r="M12" i="6" s="1"/>
  <c r="G12" i="6" s="1"/>
  <c r="L13" i="3"/>
  <c r="P14" i="16" s="1"/>
  <c r="T15" i="3"/>
  <c r="G11" i="13"/>
  <c r="L12" i="7"/>
  <c r="S13" i="16" s="1"/>
  <c r="K15" i="6"/>
  <c r="M12" i="7"/>
  <c r="R15" i="6"/>
  <c r="S15" i="6" s="1"/>
  <c r="U15" i="6" s="1"/>
  <c r="J15" i="6" s="1"/>
  <c r="M15" i="6" s="1"/>
  <c r="G15" i="6" s="1"/>
  <c r="T15" i="6"/>
  <c r="M13" i="9"/>
  <c r="U14" i="13"/>
  <c r="U12" i="13"/>
  <c r="M11" i="9"/>
  <c r="T13" i="2"/>
  <c r="U8" i="6"/>
  <c r="J8" i="6" s="1"/>
  <c r="M8" i="6" s="1"/>
  <c r="G8" i="6" s="1"/>
  <c r="M9" i="13" s="1"/>
  <c r="R13" i="2"/>
  <c r="S13" i="2" s="1"/>
  <c r="G14" i="9"/>
  <c r="R10" i="7"/>
  <c r="S10" i="7" s="1"/>
  <c r="T11" i="7"/>
  <c r="T10" i="7"/>
  <c r="L8" i="2"/>
  <c r="N9" i="16" s="1"/>
  <c r="K13" i="2"/>
  <c r="R15" i="5"/>
  <c r="S15" i="5" s="1"/>
  <c r="U15" i="5" s="1"/>
  <c r="J15" i="5" s="1"/>
  <c r="M15" i="5" s="1"/>
  <c r="K11" i="7"/>
  <c r="T9" i="7"/>
  <c r="U9" i="7" s="1"/>
  <c r="J9" i="7" s="1"/>
  <c r="M9" i="7" s="1"/>
  <c r="N30" i="6"/>
  <c r="R11" i="7"/>
  <c r="S11" i="7" s="1"/>
  <c r="L14" i="6"/>
  <c r="R15" i="16" s="1"/>
  <c r="K12" i="5"/>
  <c r="L12" i="5" s="1"/>
  <c r="Q13" i="16" s="1"/>
  <c r="T12" i="5"/>
  <c r="K10" i="7"/>
  <c r="R14" i="2"/>
  <c r="S14" i="2" s="1"/>
  <c r="D13" i="9"/>
  <c r="K9" i="7"/>
  <c r="T14" i="2"/>
  <c r="V12" i="13"/>
  <c r="N11" i="9"/>
  <c r="T15" i="5"/>
  <c r="W14" i="13"/>
  <c r="M9" i="3"/>
  <c r="G9" i="3" s="1"/>
  <c r="I10" i="13" s="1"/>
  <c r="G12" i="13"/>
  <c r="G12" i="16"/>
  <c r="N9" i="9"/>
  <c r="P10" i="16"/>
  <c r="M14" i="7"/>
  <c r="N30" i="7"/>
  <c r="L14" i="7"/>
  <c r="S15" i="16" s="1"/>
  <c r="L8" i="7"/>
  <c r="S9" i="16" s="1"/>
  <c r="O13" i="9"/>
  <c r="O14" i="9"/>
  <c r="V10" i="13"/>
  <c r="W15" i="13"/>
  <c r="U12" i="2"/>
  <c r="J12" i="2" s="1"/>
  <c r="L12" i="2" s="1"/>
  <c r="N13" i="16" s="1"/>
  <c r="D11" i="9"/>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K9" i="8"/>
  <c r="T9" i="8"/>
  <c r="G14" i="13" l="1"/>
  <c r="T15" i="8"/>
  <c r="U15" i="8" s="1"/>
  <c r="J15" i="8" s="1"/>
  <c r="M15" i="8" s="1"/>
  <c r="N10" i="9"/>
  <c r="M9" i="9"/>
  <c r="K15" i="8"/>
  <c r="K12" i="8"/>
  <c r="T12" i="8"/>
  <c r="U12" i="8" s="1"/>
  <c r="J12" i="8" s="1"/>
  <c r="V11" i="13"/>
  <c r="L14" i="3"/>
  <c r="P15" i="16" s="1"/>
  <c r="P13" i="9"/>
  <c r="L12" i="3"/>
  <c r="P13" i="16" s="1"/>
  <c r="U10" i="13"/>
  <c r="N30" i="3"/>
  <c r="U13" i="2"/>
  <c r="J13" i="2" s="1"/>
  <c r="M13" i="2" s="1"/>
  <c r="G13" i="2" s="1"/>
  <c r="E14" i="16" s="1"/>
  <c r="I14" i="16"/>
  <c r="X14" i="13"/>
  <c r="E13" i="9"/>
  <c r="U11" i="7"/>
  <c r="J11" i="7" s="1"/>
  <c r="M11" i="7" s="1"/>
  <c r="E14" i="9"/>
  <c r="I15" i="13"/>
  <c r="U15" i="3"/>
  <c r="J15" i="3" s="1"/>
  <c r="M15" i="3" s="1"/>
  <c r="G15" i="3" s="1"/>
  <c r="I16" i="16" s="1"/>
  <c r="U14" i="2"/>
  <c r="J14" i="2" s="1"/>
  <c r="M14" i="2" s="1"/>
  <c r="G14" i="2" s="1"/>
  <c r="E15" i="16" s="1"/>
  <c r="L13" i="8"/>
  <c r="T14" i="16" s="1"/>
  <c r="L13" i="7"/>
  <c r="S14" i="16" s="1"/>
  <c r="V14" i="13"/>
  <c r="L12" i="6"/>
  <c r="R13" i="16" s="1"/>
  <c r="I13" i="9"/>
  <c r="U11" i="13"/>
  <c r="M10" i="9"/>
  <c r="Q14" i="13"/>
  <c r="Q12" i="9"/>
  <c r="L15" i="6"/>
  <c r="R16" i="16" s="1"/>
  <c r="M14" i="8"/>
  <c r="G14" i="8" s="1"/>
  <c r="K15" i="16" s="1"/>
  <c r="L14" i="8"/>
  <c r="T15" i="16" s="1"/>
  <c r="M15" i="7"/>
  <c r="N13" i="9"/>
  <c r="Y16" i="13"/>
  <c r="Q15" i="9"/>
  <c r="Y13" i="13"/>
  <c r="U10" i="7"/>
  <c r="J10" i="7" s="1"/>
  <c r="L10" i="7" s="1"/>
  <c r="S11" i="16" s="1"/>
  <c r="L8" i="6"/>
  <c r="R9" i="16" s="1"/>
  <c r="L15" i="5"/>
  <c r="Q16" i="16" s="1"/>
  <c r="T9" i="13"/>
  <c r="L8" i="9"/>
  <c r="X15" i="13"/>
  <c r="P14" i="9"/>
  <c r="G8" i="9"/>
  <c r="Q14" i="9"/>
  <c r="Y15" i="13"/>
  <c r="E9" i="13"/>
  <c r="L10" i="2"/>
  <c r="N11" i="16" s="1"/>
  <c r="L11" i="6"/>
  <c r="R12" i="16" s="1"/>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L12" i="9"/>
  <c r="T13" i="13"/>
  <c r="L15" i="4"/>
  <c r="O16" i="16" s="1"/>
  <c r="M15" i="4"/>
  <c r="G15" i="4" s="1"/>
  <c r="G16" i="16" s="1"/>
  <c r="M8" i="8"/>
  <c r="G8" i="8" s="1"/>
  <c r="K9" i="16" s="1"/>
  <c r="L8" i="8"/>
  <c r="T9" i="16" s="1"/>
  <c r="U11" i="8"/>
  <c r="J11" i="8" s="1"/>
  <c r="U10" i="8"/>
  <c r="J10" i="8" s="1"/>
  <c r="L9" i="6"/>
  <c r="R10" i="16" s="1"/>
  <c r="M9" i="6"/>
  <c r="G9" i="6" s="1"/>
  <c r="M10" i="6"/>
  <c r="G10" i="6" s="1"/>
  <c r="L10" i="6"/>
  <c r="R11" i="16" s="1"/>
  <c r="G15" i="8" l="1"/>
  <c r="K16" i="16" s="1"/>
  <c r="L12" i="8"/>
  <c r="T13" i="16" s="1"/>
  <c r="V15" i="13"/>
  <c r="N14" i="9"/>
  <c r="L15" i="8"/>
  <c r="T16" i="16" s="1"/>
  <c r="N30" i="2"/>
  <c r="P12" i="9"/>
  <c r="V13" i="13"/>
  <c r="N12" i="9"/>
  <c r="X13" i="13"/>
  <c r="Y14" i="13"/>
  <c r="L13" i="2"/>
  <c r="N14" i="16" s="1"/>
  <c r="C14" i="9"/>
  <c r="L14" i="2"/>
  <c r="N15" i="16" s="1"/>
  <c r="E15" i="13"/>
  <c r="L11" i="7"/>
  <c r="S12" i="16" s="1"/>
  <c r="Q13" i="9"/>
  <c r="I16" i="13"/>
  <c r="E15" i="9"/>
  <c r="L15" i="3"/>
  <c r="M12" i="8"/>
  <c r="G12" i="8" s="1"/>
  <c r="K13" i="16" s="1"/>
  <c r="R14" i="9"/>
  <c r="Q15" i="13"/>
  <c r="Z14" i="13"/>
  <c r="R13" i="9"/>
  <c r="C13" i="9"/>
  <c r="Z15" i="13"/>
  <c r="E14" i="13"/>
  <c r="P15" i="9"/>
  <c r="I14" i="9"/>
  <c r="X16" i="13"/>
  <c r="M10" i="7"/>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P10" i="9"/>
  <c r="X11" i="13"/>
  <c r="I8" i="9"/>
  <c r="Q9" i="13"/>
  <c r="I9" i="9"/>
  <c r="Q10" i="13"/>
  <c r="D15" i="9"/>
  <c r="G16" i="13"/>
  <c r="R12" i="9"/>
  <c r="Z13" i="13"/>
  <c r="M10" i="8"/>
  <c r="G10" i="8" s="1"/>
  <c r="K11" i="16" s="1"/>
  <c r="L10" i="8"/>
  <c r="T11" i="16" s="1"/>
  <c r="L11" i="8"/>
  <c r="T12" i="16" s="1"/>
  <c r="M11" i="8"/>
  <c r="G11" i="8" s="1"/>
  <c r="K12" i="16" s="1"/>
  <c r="Q16" i="13" l="1"/>
  <c r="I15" i="9"/>
  <c r="R15" i="9"/>
  <c r="Z16" i="13"/>
  <c r="Y12" i="13"/>
  <c r="T14" i="13"/>
  <c r="L14" i="9"/>
  <c r="L13" i="9"/>
  <c r="T15" i="13"/>
  <c r="Q11" i="9"/>
  <c r="Q13" i="13"/>
  <c r="P16" i="16"/>
  <c r="V16" i="13"/>
  <c r="N15" i="9"/>
  <c r="I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<sst xmlns="http://schemas.openxmlformats.org/spreadsheetml/2006/main" count="654" uniqueCount="141">
  <si>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</si>
  <si>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</si>
  <si>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</si>
  <si>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</si>
  <si>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</si>
  <si>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</si>
  <si>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</si>
  <si>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</si>
  <si>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</si>
  <si>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</si>
  <si>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</si>
  <si>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</si>
  <si>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</si>
  <si>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</si>
  <si>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</si>
  <si>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</si>
  <si>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</si>
  <si>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</si>
  <si>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</si>
  <si>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</si>
  <si>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</si>
  <si>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</si>
  <si>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</si>
  <si>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</si>
  <si>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</si>
  <si>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</si>
  <si>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</si>
  <si>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</si>
  <si>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</si>
  <si>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</si>
  <si>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</si>
  <si>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</si>
  <si>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</si>
  <si>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</si>
  <si>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</si>
  <si>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</si>
  <si>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</si>
  <si>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</si>
  <si>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</si>
  <si>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</si>
  <si>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</si>
  <si>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</si>
  <si>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</si>
  <si>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</si>
  <si>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</si>
  <si>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</si>
  <si>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</si>
  <si>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</si>
  <si>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</si>
  <si>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</si>
  <si>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</si>
  <si>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</si>
  <si>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</si>
  <si>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</si>
  <si>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</si>
  <si>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</si>
  <si>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</si>
  <si>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</si>
  <si>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</si>
  <si>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</si>
  <si>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</si>
  <si>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</si>
  <si>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</si>
  <si>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</si>
  <si>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</si>
  <si>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</si>
  <si>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</si>
  <si>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</si>
  <si>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</si>
  <si>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</si>
  <si>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</si>
  <si>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</si>
  <si>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</si>
  <si>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</si>
  <si>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</si>
  <si>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</si>
  <si>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</si>
  <si>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</si>
  <si>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</si>
  <si>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</si>
  <si>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</si>
  <si>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</si>
  <si>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</si>
  <si>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</si>
  <si>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</si>
  <si>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</si>
  <si>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</si>
  <si>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</si>
  <si>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</si>
  <si>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</si>
  <si>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</si>
  <si>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</si>
  <si>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</si>
  <si>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</si>
  <si>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</si>
  <si>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</si>
  <si>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</si>
  <si>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</si>
  <si>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</si>
  <si>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</si>
  <si>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</si>
  <si>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</si>
  <si>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</si>
  <si>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</si>
  <si>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</si>
  <si>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</si>
  <si>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</si>
  <si>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</si>
  <si>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</si>
  <si>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</si>
  <si>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</si>
  <si>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</si>
  <si>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</si>
  <si>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</si>
  <si>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</si>
  <si>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</si>
  <si>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</si>
  <si>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</si>
  <si>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</si>
  <si>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</si>
  <si>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</si>
  <si>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</si>
  <si>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</si>
  <si>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</si>
  <si>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</si>
  <si>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</si>
  <si>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</si>
  <si>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</si>
  <si>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Berrien</t>
  </si>
  <si>
    <t>Item 3.Referral: Berrien County Juvenile Court</t>
  </si>
  <si>
    <t>Item 4.Diversion: Berrien County Juvenile Court</t>
  </si>
  <si>
    <t>Item 5.Detention: Berrien County Juvenile Court</t>
  </si>
  <si>
    <t>Item 6.Petitioned: Berrien County Juvenile Court</t>
  </si>
  <si>
    <t>Item 7.Delinquent: Berrien County Juvenile Court</t>
  </si>
  <si>
    <t>Item 8.Probation: Berrien County Juvenile Court</t>
  </si>
  <si>
    <t>Item 9.Confinement: Berrien County Juvenile Court</t>
  </si>
  <si>
    <t>Item 10.Transferred: Berrien County Juvenile Court</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</si>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</sst>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Berrien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N=14</c:v>
                </c:pt>
                <c:pt idx="1">
                  <c:v>Confinement, total N=26</c:v>
                </c:pt>
                <c:pt idx="2">
                  <c:v>Delinquent Findings, total N=217</c:v>
                </c:pt>
                <c:pt idx="3">
                  <c:v>Petitions, total N=382</c:v>
                </c:pt>
                <c:pt idx="4">
                  <c:v>Detentions, total N=106</c:v>
                </c:pt>
                <c:pt idx="5">
                  <c:v>Referrals, total N=641</c:v>
                </c:pt>
                <c:pt idx="6">
                  <c:v>Arrests, total N=247</c:v>
                </c:pt>
                <c:pt idx="7">
                  <c:v>Population, total N=15170</c:v>
                </c:pt>
              </c:strCache>
            </c:strRef>
          </c:cat>
          <c:val>
            <c:numRef>
              <c:f>'Stacked 100%'!$B$7:$B$14</c:f>
              <c:numCache>
                <c:formatCode>0%</c:formatCode>
                <c:ptCount val="8"/>
                <c:pt idx="0">
                  <c:v>0.6428571428571429</c:v>
                </c:pt>
                <c:pt idx="1">
                  <c:v>0.76923076923076927</c:v>
                </c:pt>
                <c:pt idx="2">
                  <c:v>0.63594470046082952</c:v>
                </c:pt>
                <c:pt idx="3">
                  <c:v>0.59424083769633507</c:v>
                </c:pt>
                <c:pt idx="4">
                  <c:v>0.87735849056603776</c:v>
                </c:pt>
                <c:pt idx="5">
                  <c:v>0.49141965678627147</c:v>
                </c:pt>
                <c:pt idx="6">
                  <c:v>0.68016194331983804</c:v>
                </c:pt>
                <c:pt idx="7">
                  <c:v>0.20448253131179961</c:v>
                </c:pt>
              </c:numCache>
            </c:numRef>
          </c:val>
          <c:extLst>
            <c:ext xmlns:c16="http://schemas.microsoft.com/office/drawing/2014/chart" uri="{C3380CC4-5D6E-409C-BE32-E72D297353CC}">
              <c16:uniqueId val="{00000000-90DF-44FC-BEDF-CEB9DB54ECED}"/>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N=14</c:v>
                </c:pt>
                <c:pt idx="1">
                  <c:v>Confinement, total N=26</c:v>
                </c:pt>
                <c:pt idx="2">
                  <c:v>Delinquent Findings, total N=217</c:v>
                </c:pt>
                <c:pt idx="3">
                  <c:v>Petitions, total N=382</c:v>
                </c:pt>
                <c:pt idx="4">
                  <c:v>Detentions, total N=106</c:v>
                </c:pt>
                <c:pt idx="5">
                  <c:v>Referrals, total N=641</c:v>
                </c:pt>
                <c:pt idx="6">
                  <c:v>Arrests, total N=247</c:v>
                </c:pt>
                <c:pt idx="7">
                  <c:v>Population, total N=15170</c:v>
                </c:pt>
              </c:strCache>
            </c:strRef>
          </c:cat>
          <c:val>
            <c:numRef>
              <c:f>'Stacked 100%'!$C$7:$C$14</c:f>
              <c:numCache>
                <c:formatCode>0%</c:formatCode>
                <c:ptCount val="8"/>
                <c:pt idx="0">
                  <c:v>0</c:v>
                </c:pt>
                <c:pt idx="1">
                  <c:v>3.8461538461538464E-2</c:v>
                </c:pt>
                <c:pt idx="2">
                  <c:v>2.3041474654377881E-2</c:v>
                </c:pt>
                <c:pt idx="3">
                  <c:v>2.0942408376963352E-2</c:v>
                </c:pt>
                <c:pt idx="4">
                  <c:v>9.433962264150943E-3</c:v>
                </c:pt>
                <c:pt idx="5">
                  <c:v>2.9641185647425898E-2</c:v>
                </c:pt>
                <c:pt idx="6">
                  <c:v>2.8340080971659919E-2</c:v>
                </c:pt>
                <c:pt idx="7">
                  <c:v>9.4924192485168091E-2</c:v>
                </c:pt>
              </c:numCache>
            </c:numRef>
          </c:val>
          <c:extLst>
            <c:ext xmlns:c16="http://schemas.microsoft.com/office/drawing/2014/chart" uri="{C3380CC4-5D6E-409C-BE32-E72D297353CC}">
              <c16:uniqueId val="{00000001-90DF-44FC-BEDF-CEB9DB54ECED}"/>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N=14</c:v>
                </c:pt>
                <c:pt idx="1">
                  <c:v>Confinement, total N=26</c:v>
                </c:pt>
                <c:pt idx="2">
                  <c:v>Delinquent Findings, total N=217</c:v>
                </c:pt>
                <c:pt idx="3">
                  <c:v>Petitions, total N=382</c:v>
                </c:pt>
                <c:pt idx="4">
                  <c:v>Detentions, total N=106</c:v>
                </c:pt>
                <c:pt idx="5">
                  <c:v>Referrals, total N=641</c:v>
                </c:pt>
                <c:pt idx="6">
                  <c:v>Arrests, total N=247</c:v>
                </c:pt>
                <c:pt idx="7">
                  <c:v>Population, total N=15170</c:v>
                </c:pt>
              </c:strCache>
            </c:strRef>
          </c:cat>
          <c:val>
            <c:numRef>
              <c:f>'Stacked 100%'!$H$7:$H$14</c:f>
              <c:numCache>
                <c:formatCode>0%</c:formatCode>
                <c:ptCount val="8"/>
                <c:pt idx="0">
                  <c:v>0</c:v>
                </c:pt>
                <c:pt idx="1">
                  <c:v>0</c:v>
                </c:pt>
                <c:pt idx="2">
                  <c:v>1.6989105735946825E-4</c:v>
                </c:pt>
                <c:pt idx="3">
                  <c:v>9.5940352512266657E-5</c:v>
                </c:pt>
                <c:pt idx="4">
                  <c:v>0</c:v>
                </c:pt>
                <c:pt idx="5">
                  <c:v>3.4073125795546645E-5</c:v>
                </c:pt>
                <c:pt idx="6">
                  <c:v>4.9173072825320852E-5</c:v>
                </c:pt>
                <c:pt idx="7">
                  <c:v>1.7989917824314982E-6</c:v>
                </c:pt>
              </c:numCache>
            </c:numRef>
          </c:val>
          <c:extLst>
            <c:ext xmlns:c16="http://schemas.microsoft.com/office/drawing/2014/chart" uri="{C3380CC4-5D6E-409C-BE32-E72D297353CC}">
              <c16:uniqueId val="{00000002-90DF-44FC-BEDF-CEB9DB54ECED}"/>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N=14</c:v>
                </c:pt>
                <c:pt idx="1">
                  <c:v>Confinement, total N=26</c:v>
                </c:pt>
                <c:pt idx="2">
                  <c:v>Delinquent Findings, total N=217</c:v>
                </c:pt>
                <c:pt idx="3">
                  <c:v>Petitions, total N=382</c:v>
                </c:pt>
                <c:pt idx="4">
                  <c:v>Detentions, total N=106</c:v>
                </c:pt>
                <c:pt idx="5">
                  <c:v>Referrals, total N=641</c:v>
                </c:pt>
                <c:pt idx="6">
                  <c:v>Arrests, total N=247</c:v>
                </c:pt>
                <c:pt idx="7">
                  <c:v>Population, total N=15170</c:v>
                </c:pt>
              </c:strCache>
            </c:strRef>
          </c:cat>
          <c:val>
            <c:numRef>
              <c:f>'Stacked 100%'!$I$7:$I$14</c:f>
              <c:numCache>
                <c:formatCode>0%</c:formatCode>
                <c:ptCount val="8"/>
                <c:pt idx="0">
                  <c:v>0.35714285714285715</c:v>
                </c:pt>
                <c:pt idx="1">
                  <c:v>0.19230769230769232</c:v>
                </c:pt>
                <c:pt idx="2">
                  <c:v>0.30414746543778803</c:v>
                </c:pt>
                <c:pt idx="3">
                  <c:v>0.34816753926701571</c:v>
                </c:pt>
                <c:pt idx="4">
                  <c:v>0.11320754716981132</c:v>
                </c:pt>
                <c:pt idx="5">
                  <c:v>0.44773790951638065</c:v>
                </c:pt>
                <c:pt idx="6">
                  <c:v>0.25101214574898784</c:v>
                </c:pt>
                <c:pt idx="7">
                  <c:v>0.6733025708635465</c:v>
                </c:pt>
              </c:numCache>
            </c:numRef>
          </c:val>
          <c:extLst>
            <c:ext xmlns:c16="http://schemas.microsoft.com/office/drawing/2014/chart" uri="{C3380CC4-5D6E-409C-BE32-E72D297353CC}">
              <c16:uniqueId val="{00000003-90DF-44FC-BEDF-CEB9DB54ECED}"/>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N=14</c:v>
                </c:pt>
                <c:pt idx="1">
                  <c:v>Confinement, total N=26</c:v>
                </c:pt>
                <c:pt idx="2">
                  <c:v>Delinquent Findings, total N=217</c:v>
                </c:pt>
                <c:pt idx="3">
                  <c:v>Petitions, total N=382</c:v>
                </c:pt>
                <c:pt idx="4">
                  <c:v>Detentions, total N=106</c:v>
                </c:pt>
                <c:pt idx="5">
                  <c:v>Referrals, total N=641</c:v>
                </c:pt>
                <c:pt idx="6">
                  <c:v>Arrests, total N=247</c:v>
                </c:pt>
                <c:pt idx="7">
                  <c:v>Population, total N=15170</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90DF-44FC-BEDF-CEB9DB54ECED}"/>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E15" sqref="E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114</v>
      </c>
      <c r="B2" s="4"/>
      <c r="C2" s="4"/>
      <c r="D2" s="4"/>
      <c r="E2" s="4"/>
      <c r="F2" s="4"/>
    </row>
    <row r="3" spans="1:11" ht="15" customHeight="1">
      <c r="A3" s="136" t="s">
        <v>128</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124</v>
      </c>
      <c r="E5" s="9" t="s">
        <v>4</v>
      </c>
      <c r="F5" s="9" t="s">
        <v>5</v>
      </c>
      <c r="G5" s="9" t="s">
        <v>127</v>
      </c>
      <c r="H5" s="9" t="s">
        <v>6</v>
      </c>
      <c r="I5" s="9" t="s">
        <v>116</v>
      </c>
      <c r="J5" s="9" t="s">
        <v>7</v>
      </c>
      <c r="K5" s="9" t="s">
        <v>108</v>
      </c>
    </row>
    <row r="6" spans="1:11" ht="15.75" customHeight="1" thickBot="1">
      <c r="A6" s="10" t="s">
        <v>139</v>
      </c>
      <c r="B6" s="11">
        <f>SUM(C6:I6)+K6</f>
        <v>15170</v>
      </c>
      <c r="C6" s="11">
        <v>10214</v>
      </c>
      <c r="D6" s="11">
        <v>3102</v>
      </c>
      <c r="E6" s="11">
        <v>1440</v>
      </c>
      <c r="F6" s="11">
        <v>297</v>
      </c>
      <c r="G6" s="11"/>
      <c r="H6" s="11">
        <v>117</v>
      </c>
      <c r="I6" s="11"/>
      <c r="J6" s="91">
        <f>SUM(D6:I6)</f>
        <v>4956</v>
      </c>
      <c r="K6" s="92"/>
    </row>
    <row r="7" spans="1:11" ht="15.75" customHeight="1" thickBot="1">
      <c r="A7" s="10" t="s">
        <v>8</v>
      </c>
      <c r="B7" s="11">
        <f t="shared" ref="B7:B15" si="0">SUM(C7:I7)+K7</f>
        <v>247</v>
      </c>
      <c r="C7" s="11">
        <v>62</v>
      </c>
      <c r="D7" s="11">
        <v>168</v>
      </c>
      <c r="E7" s="11">
        <v>7</v>
      </c>
      <c r="F7" s="11"/>
      <c r="G7" s="11"/>
      <c r="H7" s="11">
        <v>3</v>
      </c>
      <c r="I7" s="11"/>
      <c r="J7" s="91">
        <f t="shared" ref="J7:J13" si="1">SUM(D7:I7)</f>
        <v>178</v>
      </c>
      <c r="K7" s="92">
        <v>7</v>
      </c>
    </row>
    <row r="8" spans="1:11" ht="15.75" customHeight="1" thickBot="1">
      <c r="A8" s="10" t="s">
        <v>9</v>
      </c>
      <c r="B8" s="11">
        <f t="shared" si="0"/>
        <v>641</v>
      </c>
      <c r="C8" s="11">
        <v>287</v>
      </c>
      <c r="D8" s="11">
        <v>315</v>
      </c>
      <c r="E8" s="11">
        <v>19</v>
      </c>
      <c r="F8" s="11">
        <v>1</v>
      </c>
      <c r="G8" s="11"/>
      <c r="H8" s="11"/>
      <c r="I8" s="11">
        <v>13</v>
      </c>
      <c r="J8" s="91">
        <f t="shared" si="1"/>
        <v>348</v>
      </c>
      <c r="K8" s="92">
        <v>6</v>
      </c>
    </row>
    <row r="9" spans="1:11" ht="15.75" customHeight="1" thickBot="1">
      <c r="A9" s="10" t="s">
        <v>10</v>
      </c>
      <c r="B9" s="11">
        <f t="shared" si="0"/>
        <v>256</v>
      </c>
      <c r="C9" s="11">
        <v>152</v>
      </c>
      <c r="D9" s="11">
        <v>85</v>
      </c>
      <c r="E9" s="11">
        <v>10</v>
      </c>
      <c r="F9" s="11">
        <v>1</v>
      </c>
      <c r="G9" s="11"/>
      <c r="H9" s="11"/>
      <c r="I9" s="11">
        <v>3</v>
      </c>
      <c r="J9" s="91">
        <f t="shared" si="1"/>
        <v>99</v>
      </c>
      <c r="K9" s="92">
        <v>5</v>
      </c>
    </row>
    <row r="10" spans="1:11" ht="15.75" customHeight="1" thickBot="1">
      <c r="A10" s="10" t="s">
        <v>11</v>
      </c>
      <c r="B10" s="11">
        <f t="shared" si="0"/>
        <v>106</v>
      </c>
      <c r="C10" s="11">
        <v>12</v>
      </c>
      <c r="D10" s="11">
        <v>93</v>
      </c>
      <c r="E10" s="11">
        <v>1</v>
      </c>
      <c r="F10" s="11"/>
      <c r="G10" s="11"/>
      <c r="H10" s="11"/>
      <c r="I10" s="11"/>
      <c r="J10" s="91">
        <f t="shared" si="1"/>
        <v>94</v>
      </c>
      <c r="K10" s="92"/>
    </row>
    <row r="11" spans="1:11" ht="15.75" customHeight="1" thickBot="1">
      <c r="A11" s="10" t="s">
        <v>12</v>
      </c>
      <c r="B11" s="11">
        <f t="shared" si="0"/>
        <v>382</v>
      </c>
      <c r="C11" s="11">
        <v>133</v>
      </c>
      <c r="D11" s="11">
        <v>227</v>
      </c>
      <c r="E11" s="11">
        <v>8</v>
      </c>
      <c r="F11" s="11"/>
      <c r="G11" s="11"/>
      <c r="H11" s="11"/>
      <c r="I11" s="11">
        <v>14</v>
      </c>
      <c r="J11" s="91">
        <f t="shared" si="1"/>
        <v>249</v>
      </c>
      <c r="K11" s="92"/>
    </row>
    <row r="12" spans="1:11" ht="15.75" customHeight="1" thickBot="1">
      <c r="A12" s="10" t="s">
        <v>13</v>
      </c>
      <c r="B12" s="11">
        <f t="shared" si="0"/>
        <v>217</v>
      </c>
      <c r="C12" s="11">
        <v>66</v>
      </c>
      <c r="D12" s="11">
        <v>138</v>
      </c>
      <c r="E12" s="11">
        <v>5</v>
      </c>
      <c r="F12" s="11"/>
      <c r="G12" s="11"/>
      <c r="H12" s="11"/>
      <c r="I12" s="11">
        <v>8</v>
      </c>
      <c r="J12" s="91">
        <f t="shared" si="1"/>
        <v>151</v>
      </c>
      <c r="K12" s="92"/>
    </row>
    <row r="13" spans="1:11" ht="15.75" customHeight="1" thickBot="1">
      <c r="A13" s="10" t="s">
        <v>125</v>
      </c>
      <c r="B13" s="11">
        <f t="shared" si="0"/>
        <v>162</v>
      </c>
      <c r="C13" s="11">
        <v>52</v>
      </c>
      <c r="D13" s="11">
        <v>98</v>
      </c>
      <c r="E13" s="11">
        <v>4</v>
      </c>
      <c r="F13" s="11"/>
      <c r="G13" s="11"/>
      <c r="H13" s="11"/>
      <c r="I13" s="11">
        <v>8</v>
      </c>
      <c r="J13" s="91">
        <f t="shared" si="1"/>
        <v>110</v>
      </c>
      <c r="K13" s="92"/>
    </row>
    <row r="14" spans="1:11" ht="26.25" customHeight="1" thickBot="1">
      <c r="A14" s="10" t="s">
        <v>115</v>
      </c>
      <c r="B14" s="11">
        <f t="shared" si="0"/>
        <v>26</v>
      </c>
      <c r="C14" s="11">
        <v>5</v>
      </c>
      <c r="D14" s="11">
        <v>20</v>
      </c>
      <c r="E14" s="11">
        <v>1</v>
      </c>
      <c r="F14" s="11"/>
      <c r="G14" s="11"/>
      <c r="H14" s="11"/>
      <c r="I14" s="11"/>
      <c r="J14" s="91">
        <f>SUM(D14:I14)</f>
        <v>21</v>
      </c>
      <c r="K14" s="92"/>
    </row>
    <row r="15" spans="1:11" ht="15.75" customHeight="1" thickBot="1">
      <c r="A15" s="10" t="s">
        <v>16</v>
      </c>
      <c r="B15" s="11">
        <f t="shared" si="0"/>
        <v>14</v>
      </c>
      <c r="C15" s="11">
        <v>5</v>
      </c>
      <c r="D15" s="11">
        <v>9</v>
      </c>
      <c r="E15" s="11"/>
      <c r="F15" s="11"/>
      <c r="G15" s="11"/>
      <c r="H15" s="11"/>
      <c r="I15" s="11"/>
      <c r="J15" s="91">
        <f>SUM(D15:I15)</f>
        <v>9</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IF((I6 &gt; ($B6/100)),"Yes","No")</f>
        <v>No</v>
      </c>
      <c r="J16" s="13" t="str">
        <f t="shared" si="2"/>
        <v>Yes</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129</v>
      </c>
      <c r="B20" s="170"/>
      <c r="C20" s="8"/>
      <c r="D20" s="170" t="s">
        <v>130</v>
      </c>
      <c r="E20" s="170"/>
      <c r="F20" s="170"/>
      <c r="G20" s="170"/>
      <c r="H20" s="170"/>
      <c r="I20" s="170"/>
    </row>
    <row r="21" spans="1:9" ht="15" customHeight="1">
      <c r="A21" s="170" t="s">
        <v>131</v>
      </c>
      <c r="B21" s="170"/>
      <c r="C21" s="8"/>
      <c r="D21" s="170" t="s">
        <v>132</v>
      </c>
      <c r="E21" s="170"/>
      <c r="F21" s="170"/>
      <c r="G21" s="170"/>
      <c r="H21" s="170"/>
      <c r="I21" s="170"/>
    </row>
    <row r="22" spans="1:9" ht="15" customHeight="1">
      <c r="A22" s="170" t="s">
        <v>133</v>
      </c>
      <c r="B22" s="170"/>
      <c r="C22" s="8"/>
      <c r="D22" s="170" t="s">
        <v>134</v>
      </c>
      <c r="E22" s="170"/>
      <c r="F22" s="170"/>
      <c r="G22" s="170"/>
      <c r="H22" s="170"/>
      <c r="I22" s="170"/>
    </row>
    <row r="23" spans="1:9" ht="15" customHeight="1">
      <c r="A23" s="170" t="s">
        <v>135</v>
      </c>
      <c r="B23" s="170"/>
      <c r="C23" s="8"/>
      <c r="D23" s="170" t="s">
        <v>136</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Berrien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10214</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62</v>
      </c>
      <c r="D7" s="34">
        <f>IF((AND(C66&gt;0,C7&gt;0)),(C7/C66),0)</f>
        <v>6.0700998629332288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62</v>
      </c>
      <c r="Q7" s="42">
        <f>C6-C7</f>
        <v>10152</v>
      </c>
      <c r="R7" s="42">
        <f t="shared" ref="R7:R15" si="5">SUM(N7:Q7)</f>
        <v>10214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287</v>
      </c>
      <c r="D8" s="34">
        <f>IF((AND(C67&gt;0,C8&gt;0)),(C8/C67),0)</f>
        <v>462.90322580645164</v>
      </c>
      <c r="E8" s="33">
        <f>'Data Entry'!I8</f>
        <v>13</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13</v>
      </c>
      <c r="O8" s="42">
        <f>((D67*L67)-E8)+0.05</f>
        <v>-12.95</v>
      </c>
      <c r="P8" s="42">
        <f t="shared" si="4"/>
        <v>287</v>
      </c>
      <c r="Q8" s="42">
        <f>(C$67*L67)-C8</f>
        <v>-225</v>
      </c>
      <c r="R8" s="42">
        <f t="shared" si="5"/>
        <v>62.050000000000011</v>
      </c>
      <c r="S8" s="30">
        <f t="shared" si="6"/>
        <v>38887338.281124972</v>
      </c>
      <c r="T8" s="30">
        <f t="shared" si="7"/>
        <v>-221293.50000000311</v>
      </c>
      <c r="U8" s="31">
        <f t="shared" si="8"/>
        <v>-175.72743113161673</v>
      </c>
    </row>
    <row r="9" spans="2:21" ht="18" customHeight="1">
      <c r="B9" s="32" t="str">
        <f>'Data Entry'!A9</f>
        <v xml:space="preserve">4. Cases Diverted </v>
      </c>
      <c r="C9" s="33">
        <f>'Data Entry'!C9</f>
        <v>152</v>
      </c>
      <c r="D9" s="34">
        <f>IF((AND(C68&gt;0,C9&gt;0)),((C9/C68)),0)</f>
        <v>52.961672473867594</v>
      </c>
      <c r="E9" s="33">
        <f>'Data Entry'!I9</f>
        <v>3</v>
      </c>
      <c r="F9" s="34">
        <f>IF((AND($E$9&gt;0,$D$68&gt;0)),(($E$9/$D$68)),0)</f>
        <v>23.076923076923077</v>
      </c>
      <c r="G9" s="39" t="str">
        <f t="shared" si="0"/>
        <v>*</v>
      </c>
      <c r="H9" s="40"/>
      <c r="I9" s="41"/>
      <c r="J9" s="40">
        <f>IF((ABS($U9)&gt;Defaults!D$7),1,2)</f>
        <v>1</v>
      </c>
      <c r="K9" s="39">
        <f>IF((AND(N9&gt;Defaults!B$12,(N9+O9)&gt;Defaults!B$13, P9 &gt; Defaults!B$12, (P9+Q9) &gt; Defaults!B$13)),1,20)</f>
        <v>20</v>
      </c>
      <c r="L9" s="1">
        <f t="shared" si="1"/>
        <v>119</v>
      </c>
      <c r="M9" s="1" t="b">
        <f t="shared" si="2"/>
        <v>1</v>
      </c>
      <c r="N9" s="42">
        <f t="shared" si="3"/>
        <v>3</v>
      </c>
      <c r="O9" s="42">
        <f>(D$68*L68)-E9</f>
        <v>10</v>
      </c>
      <c r="P9" s="42">
        <f t="shared" si="4"/>
        <v>152</v>
      </c>
      <c r="Q9" s="42">
        <f>(C$68*L68)-C9</f>
        <v>135</v>
      </c>
      <c r="R9" s="42">
        <f t="shared" si="5"/>
        <v>300</v>
      </c>
      <c r="S9" s="30">
        <f t="shared" si="6"/>
        <v>372967500</v>
      </c>
      <c r="T9" s="30">
        <f t="shared" si="7"/>
        <v>83854225</v>
      </c>
      <c r="U9" s="31">
        <f t="shared" si="8"/>
        <v>4.4478080859968596</v>
      </c>
    </row>
    <row r="10" spans="2:21" ht="18" customHeight="1">
      <c r="B10" s="32" t="str">
        <f>'Data Entry'!A10</f>
        <v>5. Cases Involving Secure Detention</v>
      </c>
      <c r="C10" s="33">
        <f>'Data Entry'!C10</f>
        <v>12</v>
      </c>
      <c r="D10" s="34">
        <f>IF(((AND(C68&gt;0,C10&gt;0))),(C10/(C68)),0)</f>
        <v>4.1811846689895473</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13</v>
      </c>
      <c r="P10" s="42">
        <f t="shared" si="4"/>
        <v>12</v>
      </c>
      <c r="Q10" s="42">
        <f>(C$68*L68)-C10</f>
        <v>275</v>
      </c>
      <c r="R10" s="42">
        <f t="shared" si="5"/>
        <v>300</v>
      </c>
      <c r="S10" s="30">
        <f t="shared" si="6"/>
        <v>7300800</v>
      </c>
      <c r="T10" s="30">
        <f t="shared" si="7"/>
        <v>12894336</v>
      </c>
      <c r="U10" s="31">
        <f t="shared" si="8"/>
        <v>0.56620209059233451</v>
      </c>
    </row>
    <row r="11" spans="2:21" ht="18" customHeight="1">
      <c r="B11" s="32" t="str">
        <f>'Data Entry'!A11</f>
        <v>6. Cases Petitioned (Charge Filed)</v>
      </c>
      <c r="C11" s="33">
        <f>'Data Entry'!C11</f>
        <v>133</v>
      </c>
      <c r="D11" s="34">
        <f>IF(((AND(C68&gt;0,C11&gt;0))),(C11/(C68)),0)</f>
        <v>46.341463414634141</v>
      </c>
      <c r="E11" s="33">
        <f>'Data Entry'!I11</f>
        <v>14</v>
      </c>
      <c r="F11" s="34">
        <f>IF(((AND($E$11&gt;0,$D$68&gt;0))),($E$11/($D$68)),0)</f>
        <v>107.69230769230769</v>
      </c>
      <c r="G11" s="39" t="str">
        <f t="shared" si="0"/>
        <v>*</v>
      </c>
      <c r="H11" s="40"/>
      <c r="I11" s="41"/>
      <c r="J11" s="40">
        <f>IF((ABS($U11)&gt;Defaults!D$7),1,2)</f>
        <v>1</v>
      </c>
      <c r="K11" s="39">
        <f>IF((AND(N11&gt;Defaults!B$12,(N11+O11)&gt;Defaults!B$13, P11 &gt; Defaults!B$12, (P11+Q11) &gt; Defaults!B$13)),1,20)</f>
        <v>20</v>
      </c>
      <c r="L11" s="1">
        <f t="shared" si="1"/>
        <v>119</v>
      </c>
      <c r="M11" s="1" t="b">
        <f t="shared" si="2"/>
        <v>1</v>
      </c>
      <c r="N11" s="42">
        <f t="shared" si="3"/>
        <v>14</v>
      </c>
      <c r="O11" s="42">
        <f>(D$68*L68)-E11</f>
        <v>-1</v>
      </c>
      <c r="P11" s="42">
        <f t="shared" si="4"/>
        <v>133</v>
      </c>
      <c r="Q11" s="42">
        <f>(C$68*L68)-C11</f>
        <v>154</v>
      </c>
      <c r="R11" s="42">
        <f t="shared" si="5"/>
        <v>300</v>
      </c>
      <c r="S11" s="30">
        <f t="shared" si="6"/>
        <v>1571856300</v>
      </c>
      <c r="T11" s="30">
        <f t="shared" si="7"/>
        <v>83913921</v>
      </c>
      <c r="U11" s="31">
        <f t="shared" si="8"/>
        <v>18.731770381698645</v>
      </c>
    </row>
    <row r="12" spans="2:21" ht="18" customHeight="1">
      <c r="B12" s="32" t="str">
        <f>'Data Entry'!A12</f>
        <v>7. Cases Resulting in Delinquent Findings</v>
      </c>
      <c r="C12" s="33">
        <f>'Data Entry'!C12</f>
        <v>66</v>
      </c>
      <c r="D12" s="34">
        <f>IF(((AND(C69&gt;0,C12&gt;0))),(C12/(C69)),0)</f>
        <v>49.624060150375939</v>
      </c>
      <c r="E12" s="33">
        <f>'Data Entry'!I12</f>
        <v>8</v>
      </c>
      <c r="F12" s="34">
        <f>IF(((AND($D$69&gt;0,$E$12&gt;0))),(E12/(D69)),0)</f>
        <v>57.142857142857139</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8</v>
      </c>
      <c r="O12" s="42">
        <f>(D69*L69)-E12</f>
        <v>6.0000000000000018</v>
      </c>
      <c r="P12" s="42">
        <f t="shared" si="4"/>
        <v>66</v>
      </c>
      <c r="Q12" s="42">
        <f>(C69*L69)-C12</f>
        <v>67</v>
      </c>
      <c r="R12" s="42">
        <f t="shared" si="5"/>
        <v>147</v>
      </c>
      <c r="S12" s="30">
        <f t="shared" si="6"/>
        <v>2881199.9999999953</v>
      </c>
      <c r="T12" s="30">
        <f t="shared" si="7"/>
        <v>10058524.000000002</v>
      </c>
      <c r="U12" s="31">
        <f t="shared" si="8"/>
        <v>0.28644361737368174</v>
      </c>
    </row>
    <row r="13" spans="2:21" ht="18" customHeight="1">
      <c r="B13" s="32" t="str">
        <f>'Data Entry'!A13</f>
        <v>8. Cases Resulting in Probation Placement</v>
      </c>
      <c r="C13" s="33">
        <f>'Data Entry'!C13</f>
        <v>52</v>
      </c>
      <c r="D13" s="34">
        <f>IF(((AND(C70&gt;0,C13&gt;0))),(C13/(C70)),0)</f>
        <v>78.787878787878782</v>
      </c>
      <c r="E13" s="33">
        <f>'Data Entry'!I13</f>
        <v>8</v>
      </c>
      <c r="F13" s="34">
        <f>IF(((AND($D$70&gt;0,$E$13&gt;0))),($E$13/($D$70)),0)</f>
        <v>100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8</v>
      </c>
      <c r="O13" s="42">
        <f>(D70*L70)-E13</f>
        <v>0</v>
      </c>
      <c r="P13" s="42">
        <f t="shared" si="4"/>
        <v>52</v>
      </c>
      <c r="Q13" s="42">
        <f>(C70*L70)-C13</f>
        <v>14</v>
      </c>
      <c r="R13" s="42">
        <f t="shared" si="5"/>
        <v>74</v>
      </c>
      <c r="S13" s="30">
        <f t="shared" si="6"/>
        <v>928256</v>
      </c>
      <c r="T13" s="30">
        <f t="shared" si="7"/>
        <v>443520</v>
      </c>
      <c r="U13" s="31">
        <f t="shared" si="8"/>
        <v>2.0929292929292931</v>
      </c>
    </row>
    <row r="14" spans="2:21" ht="30.75" customHeight="1">
      <c r="B14" s="32" t="str">
        <f>'Data Entry'!A14</f>
        <v xml:space="preserve">9. Cases Resulting in Confinement in Secure Juvenile Correctional Facilities </v>
      </c>
      <c r="C14" s="33">
        <f>'Data Entry'!C14</f>
        <v>5</v>
      </c>
      <c r="D14" s="34">
        <f>IF(((AND(C70&gt;0,C14&gt;0))), ((C14/(C70))),0)</f>
        <v>7.5757575757575752</v>
      </c>
      <c r="E14" s="33">
        <f>'Data Entry'!I14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8</v>
      </c>
      <c r="P14" s="42">
        <f t="shared" si="4"/>
        <v>5</v>
      </c>
      <c r="Q14" s="42">
        <f>(C70*L70)-C14</f>
        <v>61</v>
      </c>
      <c r="R14" s="42">
        <f t="shared" si="5"/>
        <v>74</v>
      </c>
      <c r="S14" s="30">
        <f t="shared" si="6"/>
        <v>118400</v>
      </c>
      <c r="T14" s="30">
        <f t="shared" si="7"/>
        <v>182160</v>
      </c>
      <c r="U14" s="31">
        <f t="shared" si="8"/>
        <v>0.64997804128238912</v>
      </c>
    </row>
    <row r="15" spans="2:21" ht="15.75" customHeight="1">
      <c r="B15" s="32" t="str">
        <f>'Data Entry'!A15</f>
        <v xml:space="preserve">10. Cases Transferred to Adult Court </v>
      </c>
      <c r="C15" s="33">
        <f>'Data Entry'!C15</f>
        <v>5</v>
      </c>
      <c r="D15" s="34">
        <f>IF(((AND(C69&gt;0,C15&gt;0))),((C15/(C69))),0)</f>
        <v>3.7593984962406015</v>
      </c>
      <c r="E15" s="33">
        <f>'Data Entry'!I15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139</v>
      </c>
      <c r="M15" s="1" t="b">
        <f t="shared" si="2"/>
        <v>1</v>
      </c>
      <c r="N15" s="42">
        <f t="shared" si="3"/>
        <v>0</v>
      </c>
      <c r="O15" s="42">
        <f>(D69*L69)-E15</f>
        <v>14.000000000000002</v>
      </c>
      <c r="P15" s="42">
        <f t="shared" si="4"/>
        <v>5</v>
      </c>
      <c r="Q15" s="42">
        <f>(C69*L69)-C15</f>
        <v>128</v>
      </c>
      <c r="R15" s="42">
        <f t="shared" si="5"/>
        <v>147</v>
      </c>
      <c r="S15" s="30">
        <f t="shared" si="6"/>
        <v>720300.00000000023</v>
      </c>
      <c r="T15" s="30">
        <f t="shared" si="7"/>
        <v>1322020.0000000002</v>
      </c>
      <c r="U15" s="31">
        <f t="shared" si="8"/>
        <v>0.54484803558191264</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10.214</v>
      </c>
      <c r="D42" s="56">
        <f>E6/1000</f>
        <v>0</v>
      </c>
      <c r="E42" s="56">
        <f>MAX(C42:D42)</f>
        <v>10.214</v>
      </c>
      <c r="G42" s="1" t="str">
        <f>B42</f>
        <v>per 1000 youth</v>
      </c>
      <c r="L42" s="57">
        <v>1000</v>
      </c>
      <c r="M42" s="57"/>
      <c r="R42" s="49"/>
    </row>
    <row r="43" spans="2:18" ht="15" hidden="1" customHeight="1">
      <c r="B43" s="49" t="s">
        <v>87</v>
      </c>
      <c r="C43" s="56">
        <f>C7/100</f>
        <v>0.62</v>
      </c>
      <c r="D43" s="56">
        <f>E7/100</f>
        <v>0</v>
      </c>
      <c r="E43" s="56">
        <f>MAX(C43:D43,0)</f>
        <v>0.62</v>
      </c>
      <c r="G43" s="1" t="str">
        <f>B43</f>
        <v>per 100 arrests</v>
      </c>
      <c r="L43" s="57">
        <v>100</v>
      </c>
      <c r="M43" s="57"/>
      <c r="R43" s="49"/>
    </row>
    <row r="44" spans="2:18" ht="15" hidden="1" customHeight="1">
      <c r="B44" s="49" t="s">
        <v>88</v>
      </c>
      <c r="C44" s="56">
        <f>C8/100</f>
        <v>2.87</v>
      </c>
      <c r="D44" s="56">
        <f>E8/100</f>
        <v>0.13</v>
      </c>
      <c r="E44" s="56">
        <f>MAX(C44:D44,0)</f>
        <v>2.87</v>
      </c>
      <c r="G44" s="1" t="str">
        <f>B44</f>
        <v>per 100 referrals</v>
      </c>
      <c r="L44" s="57">
        <v>100</v>
      </c>
      <c r="M44" s="57"/>
      <c r="R44" s="49"/>
    </row>
    <row r="45" spans="2:18" ht="15" hidden="1" customHeight="1">
      <c r="B45" s="49" t="s">
        <v>89</v>
      </c>
      <c r="C45" s="49">
        <f>C11/100</f>
        <v>1.33</v>
      </c>
      <c r="D45" s="49">
        <f>E11/100</f>
        <v>0.14000000000000001</v>
      </c>
      <c r="E45" s="56">
        <f>MAX(C45:D45,0)</f>
        <v>1.33</v>
      </c>
      <c r="G45" s="1" t="str">
        <f>B45</f>
        <v>per 100 youth petitioned</v>
      </c>
      <c r="L45" s="57">
        <v>100</v>
      </c>
      <c r="M45" s="57"/>
      <c r="R45" s="49"/>
    </row>
    <row r="46" spans="2:18" ht="15" hidden="1" customHeight="1">
      <c r="B46" s="49" t="s">
        <v>90</v>
      </c>
      <c r="C46" s="49">
        <f>C12/100</f>
        <v>0.66</v>
      </c>
      <c r="D46" s="49">
        <f>E12/100</f>
        <v>0.08</v>
      </c>
      <c r="E46" s="56">
        <f>MAX(C46:D46)</f>
        <v>0.66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10.214</v>
      </c>
      <c r="D48" s="56">
        <f>D42</f>
        <v>0</v>
      </c>
      <c r="E48" s="56">
        <f>MAX(C48:D48)</f>
        <v>10.214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0.62</v>
      </c>
      <c r="D49" s="49">
        <f t="shared" si="9"/>
        <v>0</v>
      </c>
      <c r="E49" s="49">
        <f>MAX(C49:D49)</f>
        <v>0.62</v>
      </c>
      <c r="G49" s="1" t="str">
        <f>G43</f>
        <v>per 100 arrests</v>
      </c>
      <c r="L49" s="58">
        <f>IF(($E43&gt;0),L43,L42)</f>
        <v>100</v>
      </c>
      <c r="M49" s="58"/>
      <c r="N49" s="21"/>
      <c r="O49" s="21"/>
      <c r="P49" s="21"/>
      <c r="Q49" s="21"/>
      <c r="R49" s="21"/>
    </row>
    <row r="50" spans="2:18" ht="15" hidden="1" customHeight="1">
      <c r="B50" s="49" t="str">
        <f t="shared" si="9"/>
        <v>per 100 referrals</v>
      </c>
      <c r="C50" s="49">
        <f t="shared" si="9"/>
        <v>2.87</v>
      </c>
      <c r="D50" s="49">
        <f t="shared" si="9"/>
        <v>0.13</v>
      </c>
      <c r="E50" s="49">
        <f>MAX(C50:D50)</f>
        <v>2.87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1.33</v>
      </c>
      <c r="D51" s="49">
        <f>IF(($E45&gt;0),D45,D44)</f>
        <v>0.14000000000000001</v>
      </c>
      <c r="E51" s="49">
        <f>MAX(C51:D51)</f>
        <v>1.33</v>
      </c>
      <c r="G51" s="1" t="str">
        <f>G45</f>
        <v>per 100 youth petitioned</v>
      </c>
      <c r="L51" s="58">
        <f>IF(($E45&gt;0),L45,L44)</f>
        <v>100</v>
      </c>
      <c r="M51" s="58"/>
    </row>
    <row r="52" spans="2:18" ht="15" hidden="1" customHeight="1">
      <c r="B52" s="49" t="str">
        <f>IF(($E46&gt;0),B46,B45)</f>
        <v>per 100 youth found delinquent</v>
      </c>
      <c r="C52" s="49">
        <f>IF(($E46&gt;0),C46,C45)</f>
        <v>0.66</v>
      </c>
      <c r="D52" s="49">
        <f>IF(($E46&gt;0),D46,D45)</f>
        <v>0.08</v>
      </c>
      <c r="E52" s="56">
        <f>MAX(C52:D52)</f>
        <v>0.66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10.214</v>
      </c>
      <c r="D54" s="56">
        <f>D48</f>
        <v>0</v>
      </c>
      <c r="E54" s="56">
        <f>MAX(C54:D54)</f>
        <v>10.214</v>
      </c>
      <c r="G54" s="1" t="str">
        <f>G48</f>
        <v>per 1000 youth</v>
      </c>
      <c r="L54" s="58">
        <f>L48</f>
        <v>1000</v>
      </c>
      <c r="M54" s="58"/>
    </row>
    <row r="55" spans="2:18" ht="15" hidden="1" customHeight="1">
      <c r="B55" s="49" t="str">
        <f t="shared" ref="B55:D56" si="10">IF(($E49&gt;0),B49,B48)</f>
        <v>per 100 arrests</v>
      </c>
      <c r="C55" s="49">
        <f t="shared" si="10"/>
        <v>0.62</v>
      </c>
      <c r="D55" s="49">
        <f t="shared" si="10"/>
        <v>0</v>
      </c>
      <c r="E55" s="49">
        <f>MAX(C55:D55)</f>
        <v>0.62</v>
      </c>
      <c r="G55" s="1" t="str">
        <f>G49</f>
        <v>per 100 arrests</v>
      </c>
      <c r="L55" s="58">
        <f>IF(($E49&gt;0),L49,L48)</f>
        <v>100</v>
      </c>
      <c r="M55" s="58"/>
    </row>
    <row r="56" spans="2:18" ht="15" hidden="1" customHeight="1">
      <c r="B56" s="49" t="str">
        <f t="shared" si="10"/>
        <v>per 100 referrals</v>
      </c>
      <c r="C56" s="49">
        <f t="shared" si="10"/>
        <v>2.87</v>
      </c>
      <c r="D56" s="49">
        <f t="shared" si="10"/>
        <v>0.13</v>
      </c>
      <c r="E56" s="49">
        <f>MAX(C56:D56)</f>
        <v>2.87</v>
      </c>
      <c r="G56" s="1" t="str">
        <f>G50</f>
        <v>per 100 referrals</v>
      </c>
      <c r="L56" s="58">
        <f>IF(($E50&gt;0),L50,L49)</f>
        <v>100</v>
      </c>
      <c r="M56" s="58"/>
    </row>
    <row r="57" spans="2:18" ht="15" hidden="1" customHeight="1">
      <c r="B57" s="49" t="str">
        <f>IF(($E51&gt;0),B51,B49)</f>
        <v>per 100 youth petitioned</v>
      </c>
      <c r="C57" s="49">
        <f>IF(($E51&gt;0),C51,C50)</f>
        <v>1.33</v>
      </c>
      <c r="D57" s="49">
        <f>IF(($E51&gt;0),D51,D50)</f>
        <v>0.14000000000000001</v>
      </c>
      <c r="E57" s="49">
        <f>MAX(C57:D57)</f>
        <v>1.33</v>
      </c>
      <c r="G57" s="1" t="str">
        <f>G51</f>
        <v>per 100 youth petitioned</v>
      </c>
      <c r="L57" s="58">
        <f>IF(($E51&gt;0),L51,L50)</f>
        <v>100</v>
      </c>
      <c r="M57" s="58"/>
    </row>
    <row r="58" spans="2:18" ht="15" hidden="1" customHeight="1">
      <c r="B58" s="49" t="str">
        <f>IF(($E52&gt;0),B52,B51)</f>
        <v>per 100 youth found delinquent</v>
      </c>
      <c r="C58" s="49">
        <f>IF(($E52&gt;0),C52,C51)</f>
        <v>0.66</v>
      </c>
      <c r="D58" s="49">
        <f>IF(($E52&gt;0),D52,D51)</f>
        <v>0.08</v>
      </c>
      <c r="E58" s="56">
        <f>MAX(C58:D58)</f>
        <v>0.66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10.214</v>
      </c>
      <c r="D60" s="56">
        <f>D54</f>
        <v>0</v>
      </c>
      <c r="E60" s="56">
        <f>MAX(C60:D60)</f>
        <v>10.214</v>
      </c>
      <c r="G60" s="1" t="str">
        <f>G54</f>
        <v>per 1000 youth</v>
      </c>
      <c r="L60" s="58">
        <f>L54</f>
        <v>1000</v>
      </c>
      <c r="M60" s="58"/>
    </row>
    <row r="61" spans="2:18" ht="15" hidden="1" customHeight="1">
      <c r="B61" s="49" t="str">
        <f t="shared" ref="B61:D62" si="11">IF(($E55&gt;0),B55,B54)</f>
        <v>per 100 arrests</v>
      </c>
      <c r="C61" s="49">
        <f t="shared" si="11"/>
        <v>0.62</v>
      </c>
      <c r="D61" s="49">
        <f t="shared" si="11"/>
        <v>0</v>
      </c>
      <c r="E61" s="49">
        <f>MAX(C61:D61)</f>
        <v>0.62</v>
      </c>
      <c r="G61" s="1" t="str">
        <f>G55</f>
        <v>per 100 arrests</v>
      </c>
      <c r="L61" s="58">
        <f>IF(($E55&gt;0),L55,L54)</f>
        <v>100</v>
      </c>
      <c r="M61" s="58"/>
    </row>
    <row r="62" spans="2:18" ht="15" hidden="1" customHeight="1">
      <c r="B62" s="49" t="str">
        <f t="shared" si="11"/>
        <v>per 100 referrals</v>
      </c>
      <c r="C62" s="49">
        <f t="shared" si="11"/>
        <v>2.87</v>
      </c>
      <c r="D62" s="49">
        <f t="shared" si="11"/>
        <v>0.13</v>
      </c>
      <c r="E62" s="49">
        <f>MAX(C62:D62)</f>
        <v>2.87</v>
      </c>
      <c r="G62" s="1" t="str">
        <f>G56</f>
        <v>per 100 referrals</v>
      </c>
      <c r="L62" s="58">
        <f>IF(($E56&gt;0),L56,L55)</f>
        <v>100</v>
      </c>
      <c r="M62" s="58"/>
    </row>
    <row r="63" spans="2:18" ht="15" hidden="1" customHeight="1">
      <c r="B63" s="49" t="str">
        <f>IF(($E57&gt;0),B57,B55)</f>
        <v>per 100 youth petitioned</v>
      </c>
      <c r="C63" s="49">
        <f>IF(($E57&gt;0),C57,C56)</f>
        <v>1.33</v>
      </c>
      <c r="D63" s="49">
        <f>IF(($E57&gt;0),D57,D56)</f>
        <v>0.14000000000000001</v>
      </c>
      <c r="E63" s="49">
        <f>MAX(C63:D63)</f>
        <v>1.33</v>
      </c>
      <c r="G63" s="1" t="str">
        <f>G57</f>
        <v>per 100 youth petitioned</v>
      </c>
      <c r="L63" s="58">
        <f>IF(($E57&gt;0),L57,L56)</f>
        <v>100</v>
      </c>
      <c r="M63" s="58"/>
    </row>
    <row r="64" spans="2:18" ht="15" hidden="1" customHeight="1">
      <c r="B64" s="49" t="str">
        <f>IF(($E58&gt;0),B58,B57)</f>
        <v>per 100 youth found delinquent</v>
      </c>
      <c r="C64" s="49">
        <f>IF(($E58&gt;0),C58,C57)</f>
        <v>0.66</v>
      </c>
      <c r="D64" s="49">
        <f>IF(($E58&gt;0),D58,D57)</f>
        <v>0.08</v>
      </c>
      <c r="E64" s="56">
        <f>MAX(C64:D64)</f>
        <v>0.66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10.214</v>
      </c>
      <c r="D66" s="56">
        <f>D60</f>
        <v>0</v>
      </c>
      <c r="E66" s="56">
        <f>MAX(C66:D66)</f>
        <v>10.214</v>
      </c>
      <c r="G66" s="1" t="str">
        <f>G60</f>
        <v>per 1000 youth</v>
      </c>
      <c r="L66" s="58">
        <f>L60</f>
        <v>1000</v>
      </c>
      <c r="M66" s="58">
        <f>IF((B66=G66),1,2)</f>
        <v>1</v>
      </c>
    </row>
    <row r="67" spans="2:13" ht="15" hidden="1" customHeight="1">
      <c r="B67" s="49" t="str">
        <f t="shared" ref="B67:D68" si="12">IF(($E61&gt;0),B61,B60)</f>
        <v>per 100 arrests</v>
      </c>
      <c r="C67" s="49">
        <f t="shared" si="12"/>
        <v>0.62</v>
      </c>
      <c r="D67" s="49">
        <f t="shared" si="12"/>
        <v>0</v>
      </c>
      <c r="E67" s="49">
        <f>MAX(C67:D67)</f>
        <v>0.62</v>
      </c>
      <c r="G67" s="1" t="str">
        <f>G61</f>
        <v>per 100 arrests</v>
      </c>
      <c r="L67" s="58">
        <f>IF(($E61&gt;0),L61,L60)</f>
        <v>100</v>
      </c>
      <c r="M67" s="58">
        <f>IF((B67=G67),1,2)</f>
        <v>1</v>
      </c>
    </row>
    <row r="68" spans="2:13" ht="15" hidden="1" customHeight="1">
      <c r="B68" s="49" t="str">
        <f t="shared" si="12"/>
        <v>per 100 referrals</v>
      </c>
      <c r="C68" s="49">
        <f t="shared" si="12"/>
        <v>2.87</v>
      </c>
      <c r="D68" s="49">
        <f t="shared" si="12"/>
        <v>0.13</v>
      </c>
      <c r="E68" s="49">
        <f>MAX(C68:D68)</f>
        <v>2.87</v>
      </c>
      <c r="G68" s="1" t="str">
        <f>G62</f>
        <v>per 100 referrals</v>
      </c>
      <c r="L68" s="58">
        <f>IF(($E62&gt;0),L62,L61)</f>
        <v>100</v>
      </c>
      <c r="M68" s="58">
        <f>IF((B68=G68),1,2)</f>
        <v>1</v>
      </c>
    </row>
    <row r="69" spans="2:13" ht="15" hidden="1" customHeight="1">
      <c r="B69" s="49" t="str">
        <f>IF(($E63&gt;0),B63,B61)</f>
        <v>per 100 youth petitioned</v>
      </c>
      <c r="C69" s="49">
        <f>IF(($E63&gt;0),C63,C62)</f>
        <v>1.33</v>
      </c>
      <c r="D69" s="49">
        <f>IF(($E63&gt;0),D63,D62)</f>
        <v>0.14000000000000001</v>
      </c>
      <c r="E69" s="49">
        <f>MAX(C69:D69)</f>
        <v>1.33</v>
      </c>
      <c r="G69" s="1" t="str">
        <f>G63</f>
        <v>per 100 youth petitioned</v>
      </c>
      <c r="L69" s="58">
        <f>IF(($E63&gt;0),L63,L62)</f>
        <v>100</v>
      </c>
      <c r="M69" s="58">
        <f>IF((B69=G69),1,2)</f>
        <v>1</v>
      </c>
    </row>
    <row r="70" spans="2:13" ht="15" hidden="1" customHeight="1">
      <c r="B70" s="49" t="str">
        <f>IF(($E64&gt;0),B64,B63)</f>
        <v>per 100 youth found delinquent</v>
      </c>
      <c r="C70" s="49">
        <f>IF(($E64&gt;0),C64,C63)</f>
        <v>0.66</v>
      </c>
      <c r="D70" s="49">
        <f>IF(($E64&gt;0),D64,D63)</f>
        <v>0.08</v>
      </c>
      <c r="E70" s="56">
        <f>MAX(C70:D70)</f>
        <v>0.66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Berrien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10214</v>
      </c>
      <c r="D6" s="34"/>
      <c r="E6" s="33">
        <f>'Data Entry'!J6</f>
        <v>4956</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62</v>
      </c>
      <c r="D7" s="34">
        <f>IF((AND(C66&gt;0,C7&gt;0)),(C7/C66),0)</f>
        <v>6.0700998629332288</v>
      </c>
      <c r="E7" s="33">
        <f>'Data Entry'!J7</f>
        <v>178</v>
      </c>
      <c r="F7" s="34">
        <f>IF((AND($E$7&gt;0,$D$66&gt;0)),($E$7/$D$66),0)</f>
        <v>35.916061339790147</v>
      </c>
      <c r="G7" s="39">
        <f t="shared" ref="G7:G15" si="0">IF(L$6=100,"*",IF(M7=FALSE,"--",IF(K7=20,"**",($F7/$D7))))</f>
        <v>5.9168814600744604</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178</v>
      </c>
      <c r="O7" s="42">
        <f>E6-E7</f>
        <v>4778</v>
      </c>
      <c r="P7" s="42">
        <f t="shared" ref="P7:P15" si="4">C7</f>
        <v>62</v>
      </c>
      <c r="Q7" s="42">
        <f>C6-C7</f>
        <v>10152</v>
      </c>
      <c r="R7" s="42">
        <f t="shared" ref="R7:R15" si="5">SUM(N7:Q7)</f>
        <v>15170</v>
      </c>
      <c r="S7" s="30">
        <f t="shared" ref="S7:S15" si="6">R7*((((N7*Q7)-(O7*P7))^2))</f>
        <v>3.4626694188308E+16</v>
      </c>
      <c r="T7" s="30">
        <f t="shared" ref="T7:T15" si="7">(N7+O7)*(P7+Q7)*(N7+P7)*(O7+Q7)</f>
        <v>181383676588800</v>
      </c>
      <c r="U7" s="31">
        <f t="shared" ref="U7:U15" si="8">IF((S7&gt;0),S7/T7,"- -")</f>
        <v>190.90303405199646</v>
      </c>
    </row>
    <row r="8" spans="2:21" ht="18" customHeight="1">
      <c r="B8" s="32" t="str">
        <f>'Data Entry'!A8</f>
        <v>3. Refer to Juvenile Court</v>
      </c>
      <c r="C8" s="33">
        <f>'Data Entry'!C8</f>
        <v>287</v>
      </c>
      <c r="D8" s="34">
        <f>IF((AND(C67&gt;0,C8&gt;0)),(C8/C67),0)</f>
        <v>462.90322580645164</v>
      </c>
      <c r="E8" s="33">
        <f>'Data Entry'!J8</f>
        <v>348</v>
      </c>
      <c r="F8" s="34">
        <f>IF((AND($E$8&gt;0,$D$67&gt;0)),($E8/$D67),0)</f>
        <v>195.50561797752809</v>
      </c>
      <c r="G8" s="39">
        <f t="shared" si="0"/>
        <v>0.4223466311709666</v>
      </c>
      <c r="H8" s="40"/>
      <c r="I8" s="41"/>
      <c r="J8" s="40">
        <f>IF((ABS($U8)&gt;Defaults!D$7),1,2)</f>
        <v>1</v>
      </c>
      <c r="K8" s="39">
        <f>IF((AND(N8&gt;Defaults!B$12,(N8+O8)&gt;Defaults!B$13, P8 &gt; Defaults!B$12, (P8+Q8) &gt; Defaults!B$13)),1,20)</f>
        <v>1</v>
      </c>
      <c r="L8" s="1">
        <f t="shared" si="1"/>
        <v>1</v>
      </c>
      <c r="M8" s="1" t="b">
        <f t="shared" si="2"/>
        <v>1</v>
      </c>
      <c r="N8" s="42">
        <f t="shared" si="3"/>
        <v>348</v>
      </c>
      <c r="O8" s="42">
        <f>((D67*L67)-E8)+0.05</f>
        <v>-169.95</v>
      </c>
      <c r="P8" s="42">
        <f t="shared" si="4"/>
        <v>287</v>
      </c>
      <c r="Q8" s="42">
        <f>(C$67*L67)-C8</f>
        <v>-225</v>
      </c>
      <c r="R8" s="42">
        <f t="shared" si="5"/>
        <v>240.05</v>
      </c>
      <c r="S8" s="30">
        <f t="shared" si="6"/>
        <v>209248522663.54623</v>
      </c>
      <c r="T8" s="30">
        <f t="shared" si="7"/>
        <v>-2768531766.0749998</v>
      </c>
      <c r="U8" s="31">
        <f t="shared" si="8"/>
        <v>-75.581044518843228</v>
      </c>
    </row>
    <row r="9" spans="2:21" ht="18" customHeight="1">
      <c r="B9" s="32" t="str">
        <f>'Data Entry'!A9</f>
        <v xml:space="preserve">4. Cases Diverted </v>
      </c>
      <c r="C9" s="33">
        <f>'Data Entry'!C9</f>
        <v>152</v>
      </c>
      <c r="D9" s="34">
        <f>IF((AND(C68&gt;0,C9&gt;0)),((C9/C68)),0)</f>
        <v>52.961672473867594</v>
      </c>
      <c r="E9" s="33">
        <f>'Data Entry'!J9</f>
        <v>99</v>
      </c>
      <c r="F9" s="34">
        <f>IF((AND($E$9&gt;0,$D$68&gt;0)),(($E$9/$D$68)),0)</f>
        <v>28.448275862068964</v>
      </c>
      <c r="G9" s="39">
        <f t="shared" si="0"/>
        <v>0.5371483666061706</v>
      </c>
      <c r="H9" s="40"/>
      <c r="I9" s="41"/>
      <c r="J9" s="40">
        <f>IF((ABS($U9)&gt;Defaults!D$7),1,2)</f>
        <v>1</v>
      </c>
      <c r="K9" s="39">
        <f>IF((AND(N9&gt;Defaults!B$12,(N9+O9)&gt;Defaults!B$13, P9 &gt; Defaults!B$12, (P9+Q9) &gt; Defaults!B$13)),1,20)</f>
        <v>1</v>
      </c>
      <c r="L9" s="1">
        <f t="shared" si="1"/>
        <v>1</v>
      </c>
      <c r="M9" s="1" t="b">
        <f t="shared" si="2"/>
        <v>1</v>
      </c>
      <c r="N9" s="42">
        <f t="shared" si="3"/>
        <v>99</v>
      </c>
      <c r="O9" s="42">
        <f>(D$68*L68)-E9</f>
        <v>249</v>
      </c>
      <c r="P9" s="42">
        <f t="shared" si="4"/>
        <v>152</v>
      </c>
      <c r="Q9" s="42">
        <f>(C$68*L68)-C9</f>
        <v>135</v>
      </c>
      <c r="R9" s="42">
        <f t="shared" si="5"/>
        <v>635</v>
      </c>
      <c r="S9" s="30">
        <f t="shared" si="6"/>
        <v>380629978515</v>
      </c>
      <c r="T9" s="30">
        <f t="shared" si="7"/>
        <v>9626448384</v>
      </c>
      <c r="U9" s="31">
        <f t="shared" si="8"/>
        <v>39.540021753779968</v>
      </c>
    </row>
    <row r="10" spans="2:21" ht="18" customHeight="1">
      <c r="B10" s="32" t="str">
        <f>'Data Entry'!A10</f>
        <v>5. Cases Involving Secure Detention</v>
      </c>
      <c r="C10" s="33">
        <f>'Data Entry'!C10</f>
        <v>12</v>
      </c>
      <c r="D10" s="34">
        <f>IF(((AND(C68&gt;0,C10&gt;0))),(C10/(C68)),0)</f>
        <v>4.1811846689895473</v>
      </c>
      <c r="E10" s="33">
        <f>'Data Entry'!J10</f>
        <v>94</v>
      </c>
      <c r="F10" s="34">
        <f>IF(((AND($E$10&gt;0,$D$68&gt;0))),($E$10/($D$68)),0)</f>
        <v>27.011494252873565</v>
      </c>
      <c r="G10" s="39">
        <f t="shared" si="0"/>
        <v>6.4602490421455938</v>
      </c>
      <c r="H10" s="40"/>
      <c r="I10" s="41"/>
      <c r="J10" s="40">
        <f>IF((ABS($U10)&gt;Defaults!D$7),1,2)</f>
        <v>1</v>
      </c>
      <c r="K10" s="39">
        <f>IF((AND(N10&gt;Defaults!B$12,(N10+O10)&gt;Defaults!B$13, P10 &gt; Defaults!B$12, (P10+Q10) &gt; Defaults!B$13)),1,20)</f>
        <v>1</v>
      </c>
      <c r="L10" s="1">
        <f t="shared" si="1"/>
        <v>1</v>
      </c>
      <c r="M10" s="1" t="b">
        <f t="shared" si="2"/>
        <v>1</v>
      </c>
      <c r="N10" s="42">
        <f t="shared" si="3"/>
        <v>94</v>
      </c>
      <c r="O10" s="42">
        <f>(D$68*L68)-E10</f>
        <v>254</v>
      </c>
      <c r="P10" s="42">
        <f t="shared" si="4"/>
        <v>12</v>
      </c>
      <c r="Q10" s="42">
        <f>(C$68*L68)-C10</f>
        <v>275</v>
      </c>
      <c r="R10" s="42">
        <f t="shared" si="5"/>
        <v>635</v>
      </c>
      <c r="S10" s="30">
        <f t="shared" si="6"/>
        <v>330156314540</v>
      </c>
      <c r="T10" s="30">
        <f t="shared" si="7"/>
        <v>5600446824</v>
      </c>
      <c r="U10" s="31">
        <f t="shared" si="8"/>
        <v>58.951780976681583</v>
      </c>
    </row>
    <row r="11" spans="2:21" ht="18" customHeight="1">
      <c r="B11" s="32" t="str">
        <f>'Data Entry'!A11</f>
        <v>6. Cases Petitioned (Charge Filed)</v>
      </c>
      <c r="C11" s="33">
        <f>'Data Entry'!C11</f>
        <v>133</v>
      </c>
      <c r="D11" s="34">
        <f>IF(((AND(C68&gt;0,C11&gt;0))),(C11/(C68)),0)</f>
        <v>46.341463414634141</v>
      </c>
      <c r="E11" s="33">
        <f>'Data Entry'!J11</f>
        <v>249</v>
      </c>
      <c r="F11" s="34">
        <f>IF(((AND($E$11&gt;0,$D$68&gt;0))),($E$11/($D$68)),0)</f>
        <v>71.551724137931032</v>
      </c>
      <c r="G11" s="39">
        <f t="shared" si="0"/>
        <v>1.5440108892921962</v>
      </c>
      <c r="H11" s="40"/>
      <c r="I11" s="41"/>
      <c r="J11" s="40">
        <f>IF((ABS($U11)&gt;Defaults!D$7),1,2)</f>
        <v>1</v>
      </c>
      <c r="K11" s="39">
        <f>IF((AND(N11&gt;Defaults!B$12,(N11+O11)&gt;Defaults!B$13, P11 &gt; Defaults!B$12, (P11+Q11) &gt; Defaults!B$13)),1,20)</f>
        <v>1</v>
      </c>
      <c r="L11" s="1">
        <f t="shared" si="1"/>
        <v>1</v>
      </c>
      <c r="M11" s="1" t="b">
        <f t="shared" si="2"/>
        <v>1</v>
      </c>
      <c r="N11" s="42">
        <f t="shared" si="3"/>
        <v>249</v>
      </c>
      <c r="O11" s="42">
        <f>(D$68*L68)-E11</f>
        <v>99</v>
      </c>
      <c r="P11" s="42">
        <f t="shared" si="4"/>
        <v>133</v>
      </c>
      <c r="Q11" s="42">
        <f>(C$68*L68)-C11</f>
        <v>154</v>
      </c>
      <c r="R11" s="42">
        <f t="shared" si="5"/>
        <v>635</v>
      </c>
      <c r="S11" s="30">
        <f t="shared" si="6"/>
        <v>402578596035</v>
      </c>
      <c r="T11" s="30">
        <f t="shared" si="7"/>
        <v>9652615896</v>
      </c>
      <c r="U11" s="31">
        <f t="shared" si="8"/>
        <v>41.706683491034461</v>
      </c>
    </row>
    <row r="12" spans="2:21" ht="18" customHeight="1">
      <c r="B12" s="32" t="str">
        <f>'Data Entry'!A12</f>
        <v>7. Cases Resulting in Delinquent Findings</v>
      </c>
      <c r="C12" s="33">
        <f>'Data Entry'!C12</f>
        <v>66</v>
      </c>
      <c r="D12" s="34">
        <f>IF(((AND(C69&gt;0,C12&gt;0))),(C12/(C69)),0)</f>
        <v>49.624060150375939</v>
      </c>
      <c r="E12" s="33">
        <f>'Data Entry'!J12</f>
        <v>151</v>
      </c>
      <c r="F12" s="34">
        <f>IF(((AND($D$69&gt;0,$E$12&gt;0))),(E12/(D69)),0)</f>
        <v>60.642570281124492</v>
      </c>
      <c r="G12" s="39">
        <f t="shared" si="0"/>
        <v>1.2220396738469026</v>
      </c>
      <c r="H12" s="40"/>
      <c r="I12" s="41"/>
      <c r="J12" s="40">
        <f>IF((ABS($U12)&gt;Defaults!D$7),1,2)</f>
        <v>1</v>
      </c>
      <c r="K12" s="39">
        <f>IF((AND(N12&gt;Defaults!B$12,(N12+O12)&gt;Defaults!B$13, P12 &gt; Defaults!B$12, (P12+Q12) &gt; Defaults!B$13)),1,20)</f>
        <v>1</v>
      </c>
      <c r="L12" s="1">
        <f t="shared" si="1"/>
        <v>1</v>
      </c>
      <c r="M12" s="1" t="b">
        <f t="shared" si="2"/>
        <v>1</v>
      </c>
      <c r="N12" s="42">
        <f t="shared" si="3"/>
        <v>151</v>
      </c>
      <c r="O12" s="42">
        <f>(D69*L69)-E12</f>
        <v>98.000000000000028</v>
      </c>
      <c r="P12" s="42">
        <f t="shared" si="4"/>
        <v>66</v>
      </c>
      <c r="Q12" s="42">
        <f>(C69*L69)-C12</f>
        <v>67</v>
      </c>
      <c r="R12" s="42">
        <f t="shared" si="5"/>
        <v>382</v>
      </c>
      <c r="S12" s="30">
        <f t="shared" si="6"/>
        <v>5086406781.9999952</v>
      </c>
      <c r="T12" s="30">
        <f t="shared" si="7"/>
        <v>1185754185.0000005</v>
      </c>
      <c r="U12" s="31">
        <f t="shared" si="8"/>
        <v>4.2895963146020799</v>
      </c>
    </row>
    <row r="13" spans="2:21" ht="18" customHeight="1">
      <c r="B13" s="32" t="str">
        <f>'Data Entry'!A13</f>
        <v>8. Cases Resulting in Probation Placement</v>
      </c>
      <c r="C13" s="33">
        <f>'Data Entry'!C13</f>
        <v>52</v>
      </c>
      <c r="D13" s="34">
        <f>IF(((AND(C70&gt;0,C13&gt;0))),(C13/(C70)),0)</f>
        <v>78.787878787878782</v>
      </c>
      <c r="E13" s="33">
        <f>'Data Entry'!J13</f>
        <v>110</v>
      </c>
      <c r="F13" s="34">
        <f>IF(((AND($D$70&gt;0,$E$13&gt;0))),($E$13/($D$70)),0)</f>
        <v>72.847682119205302</v>
      </c>
      <c r="G13" s="39">
        <f t="shared" si="0"/>
        <v>0.92460519612837511</v>
      </c>
      <c r="H13" s="40"/>
      <c r="I13" s="41"/>
      <c r="J13" s="40">
        <f>IF((ABS($U13)&gt;Defaults!D$7),1,2)</f>
        <v>2</v>
      </c>
      <c r="K13" s="39">
        <f>IF((AND(N13&gt;Defaults!B$12,(N13+O13)&gt;Defaults!B$13, P13 &gt; Defaults!B$12, (P13+Q13) &gt; Defaults!B$13)),1,20)</f>
        <v>1</v>
      </c>
      <c r="L13" s="1">
        <f t="shared" si="1"/>
        <v>2</v>
      </c>
      <c r="M13" s="1" t="b">
        <f t="shared" si="2"/>
        <v>1</v>
      </c>
      <c r="N13" s="42">
        <f t="shared" si="3"/>
        <v>110</v>
      </c>
      <c r="O13" s="42">
        <f>(D70*L70)-E13</f>
        <v>41</v>
      </c>
      <c r="P13" s="42">
        <f t="shared" si="4"/>
        <v>52</v>
      </c>
      <c r="Q13" s="42">
        <f>(C70*L70)-C13</f>
        <v>14</v>
      </c>
      <c r="R13" s="42">
        <f t="shared" si="5"/>
        <v>217</v>
      </c>
      <c r="S13" s="30">
        <f t="shared" si="6"/>
        <v>76050688</v>
      </c>
      <c r="T13" s="30">
        <f t="shared" si="7"/>
        <v>88797060</v>
      </c>
      <c r="U13" s="31">
        <f t="shared" si="8"/>
        <v>0.85645502227213377</v>
      </c>
    </row>
    <row r="14" spans="2:21" ht="30.75" customHeight="1">
      <c r="B14" s="32" t="str">
        <f>'Data Entry'!A14</f>
        <v xml:space="preserve">9. Cases Resulting in Confinement in Secure Juvenile Correctional Facilities </v>
      </c>
      <c r="C14" s="33">
        <f>'Data Entry'!C14</f>
        <v>5</v>
      </c>
      <c r="D14" s="34">
        <f>IF(((AND(C70&gt;0,C14&gt;0))), ((C14/(C70))),0)</f>
        <v>7.5757575757575752</v>
      </c>
      <c r="E14" s="33">
        <f>'Data Entry'!J14</f>
        <v>21</v>
      </c>
      <c r="F14" s="34">
        <f>IF(((AND($D$70&gt;0,$E$14&gt;0))), (($E$14/($D$70))),0)</f>
        <v>13.90728476821192</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21</v>
      </c>
      <c r="O14" s="42">
        <f>(D70*L70)-E14</f>
        <v>130</v>
      </c>
      <c r="P14" s="42">
        <f t="shared" si="4"/>
        <v>5</v>
      </c>
      <c r="Q14" s="42">
        <f>(C70*L70)-C14</f>
        <v>61</v>
      </c>
      <c r="R14" s="42">
        <f t="shared" si="5"/>
        <v>217</v>
      </c>
      <c r="S14" s="30">
        <f t="shared" si="6"/>
        <v>86400937</v>
      </c>
      <c r="T14" s="30">
        <f t="shared" si="7"/>
        <v>49491156</v>
      </c>
      <c r="U14" s="31">
        <f t="shared" si="8"/>
        <v>1.7457853884035361</v>
      </c>
    </row>
    <row r="15" spans="2:21" ht="15.75" customHeight="1">
      <c r="B15" s="32" t="str">
        <f>'Data Entry'!A15</f>
        <v xml:space="preserve">10. Cases Transferred to Adult Court </v>
      </c>
      <c r="C15" s="33">
        <f>'Data Entry'!C15</f>
        <v>5</v>
      </c>
      <c r="D15" s="34">
        <f>IF(((AND(C69&gt;0,C15&gt;0))),((C15/(C69))),0)</f>
        <v>3.7593984962406015</v>
      </c>
      <c r="E15" s="33">
        <f>'Data Entry'!J15</f>
        <v>9</v>
      </c>
      <c r="F15" s="34">
        <f>IF(((AND($D$69&gt;0,$E$15&gt;0))),(($E$15/($D$69))),0)</f>
        <v>3.6144578313253009</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9</v>
      </c>
      <c r="O15" s="42">
        <f>(D69*L69)-E15</f>
        <v>240.00000000000003</v>
      </c>
      <c r="P15" s="42">
        <f t="shared" si="4"/>
        <v>5</v>
      </c>
      <c r="Q15" s="42">
        <f>(C69*L69)-C15</f>
        <v>128</v>
      </c>
      <c r="R15" s="42">
        <f t="shared" si="5"/>
        <v>382</v>
      </c>
      <c r="S15" s="30">
        <f t="shared" si="6"/>
        <v>880128.00000000838</v>
      </c>
      <c r="T15" s="30">
        <f t="shared" si="7"/>
        <v>170618784.00000003</v>
      </c>
      <c r="U15" s="31">
        <f t="shared" si="8"/>
        <v>5.1584472668613568E-3</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10.214</v>
      </c>
      <c r="D42" s="56">
        <f>E6/1000</f>
        <v>4.9560000000000004</v>
      </c>
      <c r="E42" s="56">
        <f>MAX(C42:D42)</f>
        <v>10.214</v>
      </c>
      <c r="G42" s="1" t="str">
        <f>B42</f>
        <v>per 1000 youth</v>
      </c>
      <c r="L42" s="57">
        <v>1000</v>
      </c>
      <c r="M42" s="57"/>
      <c r="R42" s="49"/>
    </row>
    <row r="43" spans="2:18" ht="15" hidden="1" customHeight="1">
      <c r="B43" s="49" t="s">
        <v>87</v>
      </c>
      <c r="C43" s="56">
        <f>C7/100</f>
        <v>0.62</v>
      </c>
      <c r="D43" s="56">
        <f>E7/100</f>
        <v>1.78</v>
      </c>
      <c r="E43" s="56">
        <f>MAX(C43:D43,0)</f>
        <v>1.78</v>
      </c>
      <c r="G43" s="1" t="str">
        <f>B43</f>
        <v>per 100 arrests</v>
      </c>
      <c r="L43" s="57">
        <v>100</v>
      </c>
      <c r="M43" s="57"/>
      <c r="R43" s="49"/>
    </row>
    <row r="44" spans="2:18" ht="15" hidden="1" customHeight="1">
      <c r="B44" s="49" t="s">
        <v>88</v>
      </c>
      <c r="C44" s="56">
        <f>C8/100</f>
        <v>2.87</v>
      </c>
      <c r="D44" s="56">
        <f>E8/100</f>
        <v>3.48</v>
      </c>
      <c r="E44" s="56">
        <f>MAX(C44:D44,0)</f>
        <v>3.48</v>
      </c>
      <c r="G44" s="1" t="str">
        <f>B44</f>
        <v>per 100 referrals</v>
      </c>
      <c r="L44" s="57">
        <v>100</v>
      </c>
      <c r="M44" s="57"/>
      <c r="R44" s="49"/>
    </row>
    <row r="45" spans="2:18" ht="15" hidden="1" customHeight="1">
      <c r="B45" s="49" t="s">
        <v>89</v>
      </c>
      <c r="C45" s="49">
        <f>C11/100</f>
        <v>1.33</v>
      </c>
      <c r="D45" s="49">
        <f>E11/100</f>
        <v>2.4900000000000002</v>
      </c>
      <c r="E45" s="56">
        <f>MAX(C45:D45,0)</f>
        <v>2.4900000000000002</v>
      </c>
      <c r="G45" s="1" t="str">
        <f>B45</f>
        <v>per 100 youth petitioned</v>
      </c>
      <c r="L45" s="57">
        <v>100</v>
      </c>
      <c r="M45" s="57"/>
      <c r="R45" s="49"/>
    </row>
    <row r="46" spans="2:18" ht="15" hidden="1" customHeight="1">
      <c r="B46" s="49" t="s">
        <v>90</v>
      </c>
      <c r="C46" s="49">
        <f>C12/100</f>
        <v>0.66</v>
      </c>
      <c r="D46" s="49">
        <f>E12/100</f>
        <v>1.51</v>
      </c>
      <c r="E46" s="56">
        <f>MAX(C46:D46)</f>
        <v>1.51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10.214</v>
      </c>
      <c r="D48" s="56">
        <f>D42</f>
        <v>4.9560000000000004</v>
      </c>
      <c r="E48" s="56">
        <f>MAX(C48:D48)</f>
        <v>10.214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0.62</v>
      </c>
      <c r="D49" s="49">
        <f t="shared" si="9"/>
        <v>1.78</v>
      </c>
      <c r="E49" s="49">
        <f>MAX(C49:D49)</f>
        <v>1.78</v>
      </c>
      <c r="G49" s="1" t="str">
        <f>G43</f>
        <v>per 100 arrests</v>
      </c>
      <c r="L49" s="58">
        <f>IF(($E43&gt;0),L43,L42)</f>
        <v>100</v>
      </c>
      <c r="M49" s="58"/>
      <c r="N49" s="21"/>
      <c r="O49" s="21"/>
      <c r="P49" s="21"/>
      <c r="Q49" s="21"/>
      <c r="R49" s="21"/>
    </row>
    <row r="50" spans="2:18" ht="15" hidden="1" customHeight="1">
      <c r="B50" s="49" t="str">
        <f t="shared" si="9"/>
        <v>per 100 referrals</v>
      </c>
      <c r="C50" s="49">
        <f t="shared" si="9"/>
        <v>2.87</v>
      </c>
      <c r="D50" s="49">
        <f t="shared" si="9"/>
        <v>3.48</v>
      </c>
      <c r="E50" s="49">
        <f>MAX(C50:D50)</f>
        <v>3.48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1.33</v>
      </c>
      <c r="D51" s="49">
        <f>IF(($E45&gt;0),D45,D44)</f>
        <v>2.4900000000000002</v>
      </c>
      <c r="E51" s="49">
        <f>MAX(C51:D51)</f>
        <v>2.4900000000000002</v>
      </c>
      <c r="G51" s="1" t="str">
        <f>G45</f>
        <v>per 100 youth petitioned</v>
      </c>
      <c r="L51" s="58">
        <f>IF(($E45&gt;0),L45,L44)</f>
        <v>100</v>
      </c>
      <c r="M51" s="58"/>
    </row>
    <row r="52" spans="2:18" ht="15" hidden="1" customHeight="1">
      <c r="B52" s="49" t="str">
        <f>IF(($E46&gt;0),B46,B45)</f>
        <v>per 100 youth found delinquent</v>
      </c>
      <c r="C52" s="49">
        <f>IF(($E46&gt;0),C46,C45)</f>
        <v>0.66</v>
      </c>
      <c r="D52" s="49">
        <f>IF(($E46&gt;0),D46,D45)</f>
        <v>1.51</v>
      </c>
      <c r="E52" s="56">
        <f>MAX(C52:D52)</f>
        <v>1.51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10.214</v>
      </c>
      <c r="D54" s="56">
        <f>D48</f>
        <v>4.9560000000000004</v>
      </c>
      <c r="E54" s="56">
        <f>MAX(C54:D54)</f>
        <v>10.214</v>
      </c>
      <c r="G54" s="1" t="str">
        <f>G48</f>
        <v>per 1000 youth</v>
      </c>
      <c r="L54" s="58">
        <f>L48</f>
        <v>1000</v>
      </c>
      <c r="M54" s="58"/>
    </row>
    <row r="55" spans="2:18" ht="15" hidden="1" customHeight="1">
      <c r="B55" s="49" t="str">
        <f t="shared" ref="B55:D56" si="10">IF(($E49&gt;0),B49,B48)</f>
        <v>per 100 arrests</v>
      </c>
      <c r="C55" s="49">
        <f t="shared" si="10"/>
        <v>0.62</v>
      </c>
      <c r="D55" s="49">
        <f t="shared" si="10"/>
        <v>1.78</v>
      </c>
      <c r="E55" s="49">
        <f>MAX(C55:D55)</f>
        <v>1.78</v>
      </c>
      <c r="G55" s="1" t="str">
        <f>G49</f>
        <v>per 100 arrests</v>
      </c>
      <c r="L55" s="58">
        <f>IF(($E49&gt;0),L49,L48)</f>
        <v>100</v>
      </c>
      <c r="M55" s="58"/>
    </row>
    <row r="56" spans="2:18" ht="15" hidden="1" customHeight="1">
      <c r="B56" s="49" t="str">
        <f t="shared" si="10"/>
        <v>per 100 referrals</v>
      </c>
      <c r="C56" s="49">
        <f t="shared" si="10"/>
        <v>2.87</v>
      </c>
      <c r="D56" s="49">
        <f t="shared" si="10"/>
        <v>3.48</v>
      </c>
      <c r="E56" s="49">
        <f>MAX(C56:D56)</f>
        <v>3.48</v>
      </c>
      <c r="G56" s="1" t="str">
        <f>G50</f>
        <v>per 100 referrals</v>
      </c>
      <c r="L56" s="58">
        <f>IF(($E50&gt;0),L50,L49)</f>
        <v>100</v>
      </c>
      <c r="M56" s="58"/>
    </row>
    <row r="57" spans="2:18" ht="15" hidden="1" customHeight="1">
      <c r="B57" s="49" t="str">
        <f>IF(($E51&gt;0),B51,B49)</f>
        <v>per 100 youth petitioned</v>
      </c>
      <c r="C57" s="49">
        <f>IF(($E51&gt;0),C51,C50)</f>
        <v>1.33</v>
      </c>
      <c r="D57" s="49">
        <f>IF(($E51&gt;0),D51,D50)</f>
        <v>2.4900000000000002</v>
      </c>
      <c r="E57" s="49">
        <f>MAX(C57:D57)</f>
        <v>2.4900000000000002</v>
      </c>
      <c r="G57" s="1" t="str">
        <f>G51</f>
        <v>per 100 youth petitioned</v>
      </c>
      <c r="L57" s="58">
        <f>IF(($E51&gt;0),L51,L50)</f>
        <v>100</v>
      </c>
      <c r="M57" s="58"/>
    </row>
    <row r="58" spans="2:18" ht="15" hidden="1" customHeight="1">
      <c r="B58" s="49" t="str">
        <f>IF(($E52&gt;0),B52,B51)</f>
        <v>per 100 youth found delinquent</v>
      </c>
      <c r="C58" s="49">
        <f>IF(($E52&gt;0),C52,C51)</f>
        <v>0.66</v>
      </c>
      <c r="D58" s="49">
        <f>IF(($E52&gt;0),D52,D51)</f>
        <v>1.51</v>
      </c>
      <c r="E58" s="56">
        <f>MAX(C58:D58)</f>
        <v>1.51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10.214</v>
      </c>
      <c r="D60" s="56">
        <f>D54</f>
        <v>4.9560000000000004</v>
      </c>
      <c r="E60" s="56">
        <f>MAX(C60:D60)</f>
        <v>10.214</v>
      </c>
      <c r="G60" s="1" t="str">
        <f>G54</f>
        <v>per 1000 youth</v>
      </c>
      <c r="L60" s="58">
        <f>L54</f>
        <v>1000</v>
      </c>
      <c r="M60" s="58"/>
    </row>
    <row r="61" spans="2:18" ht="15" hidden="1" customHeight="1">
      <c r="B61" s="49" t="str">
        <f t="shared" ref="B61:D62" si="11">IF(($E55&gt;0),B55,B54)</f>
        <v>per 100 arrests</v>
      </c>
      <c r="C61" s="49">
        <f t="shared" si="11"/>
        <v>0.62</v>
      </c>
      <c r="D61" s="49">
        <f t="shared" si="11"/>
        <v>1.78</v>
      </c>
      <c r="E61" s="49">
        <f>MAX(C61:D61)</f>
        <v>1.78</v>
      </c>
      <c r="G61" s="1" t="str">
        <f>G55</f>
        <v>per 100 arrests</v>
      </c>
      <c r="L61" s="58">
        <f>IF(($E55&gt;0),L55,L54)</f>
        <v>100</v>
      </c>
      <c r="M61" s="58"/>
    </row>
    <row r="62" spans="2:18" ht="15" hidden="1" customHeight="1">
      <c r="B62" s="49" t="str">
        <f t="shared" si="11"/>
        <v>per 100 referrals</v>
      </c>
      <c r="C62" s="49">
        <f t="shared" si="11"/>
        <v>2.87</v>
      </c>
      <c r="D62" s="49">
        <f t="shared" si="11"/>
        <v>3.48</v>
      </c>
      <c r="E62" s="49">
        <f>MAX(C62:D62)</f>
        <v>3.48</v>
      </c>
      <c r="G62" s="1" t="str">
        <f>G56</f>
        <v>per 100 referrals</v>
      </c>
      <c r="L62" s="58">
        <f>IF(($E56&gt;0),L56,L55)</f>
        <v>100</v>
      </c>
      <c r="M62" s="58"/>
    </row>
    <row r="63" spans="2:18" ht="15" hidden="1" customHeight="1">
      <c r="B63" s="49" t="str">
        <f>IF(($E57&gt;0),B57,B55)</f>
        <v>per 100 youth petitioned</v>
      </c>
      <c r="C63" s="49">
        <f>IF(($E57&gt;0),C57,C56)</f>
        <v>1.33</v>
      </c>
      <c r="D63" s="49">
        <f>IF(($E57&gt;0),D57,D56)</f>
        <v>2.4900000000000002</v>
      </c>
      <c r="E63" s="49">
        <f>MAX(C63:D63)</f>
        <v>2.4900000000000002</v>
      </c>
      <c r="G63" s="1" t="str">
        <f>G57</f>
        <v>per 100 youth petitioned</v>
      </c>
      <c r="L63" s="58">
        <f>IF(($E57&gt;0),L57,L56)</f>
        <v>100</v>
      </c>
      <c r="M63" s="58"/>
    </row>
    <row r="64" spans="2:18" ht="15" hidden="1" customHeight="1">
      <c r="B64" s="49" t="str">
        <f>IF(($E58&gt;0),B58,B57)</f>
        <v>per 100 youth found delinquent</v>
      </c>
      <c r="C64" s="49">
        <f>IF(($E58&gt;0),C58,C57)</f>
        <v>0.66</v>
      </c>
      <c r="D64" s="49">
        <f>IF(($E58&gt;0),D58,D57)</f>
        <v>1.51</v>
      </c>
      <c r="E64" s="56">
        <f>MAX(C64:D64)</f>
        <v>1.51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10.214</v>
      </c>
      <c r="D66" s="56">
        <f>D60</f>
        <v>4.9560000000000004</v>
      </c>
      <c r="E66" s="56">
        <f>MAX(C66:D66)</f>
        <v>10.214</v>
      </c>
      <c r="G66" s="1" t="str">
        <f>G60</f>
        <v>per 1000 youth</v>
      </c>
      <c r="L66" s="58">
        <f>L60</f>
        <v>1000</v>
      </c>
      <c r="M66" s="58">
        <f>IF((B66=G66),1,2)</f>
        <v>1</v>
      </c>
    </row>
    <row r="67" spans="2:13" ht="15" hidden="1" customHeight="1">
      <c r="B67" s="49" t="str">
        <f t="shared" ref="B67:D68" si="12">IF(($E61&gt;0),B61,B60)</f>
        <v>per 100 arrests</v>
      </c>
      <c r="C67" s="49">
        <f t="shared" si="12"/>
        <v>0.62</v>
      </c>
      <c r="D67" s="49">
        <f t="shared" si="12"/>
        <v>1.78</v>
      </c>
      <c r="E67" s="49">
        <f>MAX(C67:D67)</f>
        <v>1.78</v>
      </c>
      <c r="G67" s="1" t="str">
        <f>G61</f>
        <v>per 100 arrests</v>
      </c>
      <c r="L67" s="58">
        <f>IF(($E61&gt;0),L61,L60)</f>
        <v>100</v>
      </c>
      <c r="M67" s="58">
        <f>IF((B67=G67),1,2)</f>
        <v>1</v>
      </c>
    </row>
    <row r="68" spans="2:13" ht="15" hidden="1" customHeight="1">
      <c r="B68" s="49" t="str">
        <f t="shared" si="12"/>
        <v>per 100 referrals</v>
      </c>
      <c r="C68" s="49">
        <f t="shared" si="12"/>
        <v>2.87</v>
      </c>
      <c r="D68" s="49">
        <f t="shared" si="12"/>
        <v>3.48</v>
      </c>
      <c r="E68" s="49">
        <f>MAX(C68:D68)</f>
        <v>3.48</v>
      </c>
      <c r="G68" s="1" t="str">
        <f>G62</f>
        <v>per 100 referrals</v>
      </c>
      <c r="L68" s="58">
        <f>IF(($E62&gt;0),L62,L61)</f>
        <v>100</v>
      </c>
      <c r="M68" s="58">
        <f>IF((B68=G68),1,2)</f>
        <v>1</v>
      </c>
    </row>
    <row r="69" spans="2:13" ht="15" hidden="1" customHeight="1">
      <c r="B69" s="49" t="str">
        <f>IF(($E63&gt;0),B63,B61)</f>
        <v>per 100 youth petitioned</v>
      </c>
      <c r="C69" s="49">
        <f>IF(($E63&gt;0),C63,C62)</f>
        <v>1.33</v>
      </c>
      <c r="D69" s="49">
        <f>IF(($E63&gt;0),D63,D62)</f>
        <v>2.4900000000000002</v>
      </c>
      <c r="E69" s="49">
        <f>MAX(C69:D69)</f>
        <v>2.4900000000000002</v>
      </c>
      <c r="G69" s="1" t="str">
        <f>G63</f>
        <v>per 100 youth petitioned</v>
      </c>
      <c r="L69" s="58">
        <f>IF(($E63&gt;0),L63,L62)</f>
        <v>100</v>
      </c>
      <c r="M69" s="58">
        <f>IF((B69=G69),1,2)</f>
        <v>1</v>
      </c>
    </row>
    <row r="70" spans="2:13" ht="15" hidden="1" customHeight="1">
      <c r="B70" s="49" t="str">
        <f>IF(($E64&gt;0),B64,B63)</f>
        <v>per 100 youth found delinquent</v>
      </c>
      <c r="C70" s="49">
        <f>IF(($E64&gt;0),C64,C63)</f>
        <v>0.66</v>
      </c>
      <c r="D70" s="49">
        <f>IF(($E64&gt;0),D64,D63)</f>
        <v>1.51</v>
      </c>
      <c r="E70" s="56">
        <f>MAX(C70:D70)</f>
        <v>1.51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Berrien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8.9221937979659334</v>
      </c>
      <c r="D7" s="72">
        <f>Hispanic!G7</f>
        <v>0.80082885304659512</v>
      </c>
      <c r="E7" s="72" t="str">
        <f>Asian!G7</f>
        <v>**</v>
      </c>
      <c r="F7" s="72" t="str">
        <f>Hawaiian!G7</f>
        <v>*</v>
      </c>
      <c r="G7" s="72" t="str">
        <f>'Am Indian'!G7</f>
        <v>*</v>
      </c>
      <c r="H7" s="72" t="str">
        <f>'Other - Mixed'!G7</f>
        <v>*</v>
      </c>
      <c r="I7" s="73">
        <f>'All Minorities'!G7</f>
        <v>5.9168814600744604</v>
      </c>
      <c r="L7" s="1">
        <f>'Black or African-American'!L7</f>
        <v>1</v>
      </c>
      <c r="M7" s="1">
        <f>Hispanic!L7</f>
        <v>2</v>
      </c>
      <c r="N7" s="1">
        <f>Asian!L7</f>
        <v>40</v>
      </c>
      <c r="O7" s="1" t="e">
        <f>Hawaiian!L7</f>
        <v>#VALUE!</v>
      </c>
      <c r="P7" s="1">
        <f>'Am Indian'!L7</f>
        <v>119</v>
      </c>
      <c r="Q7" s="1" t="e">
        <f>'Other - Mixed'!L7</f>
        <v>#VALUE!</v>
      </c>
      <c r="R7" s="1">
        <f>'All Minorities'!L7</f>
        <v>1</v>
      </c>
    </row>
    <row r="8" spans="2:18" ht="15" customHeight="1">
      <c r="B8" s="71" t="s">
        <v>9</v>
      </c>
      <c r="C8" s="72">
        <f>'Black or African-American'!$G8</f>
        <v>0.40505226480836232</v>
      </c>
      <c r="D8" s="72" t="str">
        <f>Hispanic!G8</f>
        <v>**</v>
      </c>
      <c r="E8" s="72" t="str">
        <f>Asian!G8</f>
        <v>**</v>
      </c>
      <c r="F8" s="72" t="str">
        <f>Hawaiian!G8</f>
        <v>*</v>
      </c>
      <c r="G8" s="72" t="str">
        <f>'Am Indian'!G8</f>
        <v>*</v>
      </c>
      <c r="H8" s="72" t="str">
        <f>'Other - Mixed'!G8</f>
        <v>*</v>
      </c>
      <c r="I8" s="73">
        <f>'All Minorities'!G8</f>
        <v>0.4223466311709666</v>
      </c>
      <c r="L8" s="1">
        <f>'Black or African-American'!L8</f>
        <v>1</v>
      </c>
      <c r="M8" s="1">
        <f>Hispanic!L8</f>
        <v>40</v>
      </c>
      <c r="N8" s="1">
        <f>Asian!L8</f>
        <v>40</v>
      </c>
      <c r="O8" s="1">
        <f>Hawaiian!L8</f>
        <v>139</v>
      </c>
      <c r="P8" s="1">
        <f>'Am Indian'!L8</f>
        <v>119</v>
      </c>
      <c r="Q8" s="1">
        <f>'Other - Mixed'!L8</f>
        <v>119</v>
      </c>
      <c r="R8" s="1">
        <f>'All Minorities'!L8</f>
        <v>1</v>
      </c>
    </row>
    <row r="9" spans="2:18" ht="15" customHeight="1">
      <c r="B9" s="71" t="s">
        <v>10</v>
      </c>
      <c r="C9" s="72">
        <f>'Black or African-American'!$G9</f>
        <v>0.50950292397660824</v>
      </c>
      <c r="D9" s="72" t="str">
        <f>Hispanic!G9</f>
        <v>**</v>
      </c>
      <c r="E9" s="72" t="str">
        <f>Asian!G9</f>
        <v>**</v>
      </c>
      <c r="F9" s="72" t="str">
        <f>Hawaiian!G9</f>
        <v>*</v>
      </c>
      <c r="G9" s="72" t="str">
        <f>'Am Indian'!G9</f>
        <v>*</v>
      </c>
      <c r="H9" s="72" t="str">
        <f>'Other - Mixed'!G9</f>
        <v>*</v>
      </c>
      <c r="I9" s="73">
        <f>'All Minorities'!G9</f>
        <v>0.5371483666061706</v>
      </c>
      <c r="L9" s="1">
        <f>'Black or African-American'!L9</f>
        <v>1</v>
      </c>
      <c r="M9" s="1">
        <f>Hispanic!L9</f>
        <v>40</v>
      </c>
      <c r="N9" s="1">
        <f>Asian!L9</f>
        <v>40</v>
      </c>
      <c r="O9" s="1" t="e">
        <f>Hawaiian!L9</f>
        <v>#VALUE!</v>
      </c>
      <c r="P9" s="1" t="e">
        <f>'Am Indian'!L9</f>
        <v>#VALUE!</v>
      </c>
      <c r="Q9" s="1">
        <f>'Other - Mixed'!L9</f>
        <v>119</v>
      </c>
      <c r="R9" s="1">
        <f>'All Minorities'!L9</f>
        <v>1</v>
      </c>
    </row>
    <row r="10" spans="2:18" ht="15" customHeight="1">
      <c r="B10" s="71" t="s">
        <v>11</v>
      </c>
      <c r="C10" s="72">
        <f>'Black or African-American'!$G10</f>
        <v>7.0611111111111109</v>
      </c>
      <c r="D10" s="72" t="str">
        <f>Hispanic!G10</f>
        <v>**</v>
      </c>
      <c r="E10" s="72" t="str">
        <f>Asian!G10</f>
        <v>**</v>
      </c>
      <c r="F10" s="72" t="str">
        <f>Hawaiian!G10</f>
        <v>*</v>
      </c>
      <c r="G10" s="72" t="str">
        <f>'Am Indian'!G10</f>
        <v>*</v>
      </c>
      <c r="H10" s="72" t="str">
        <f>'Other - Mixed'!G10</f>
        <v>*</v>
      </c>
      <c r="I10" s="73">
        <f>'All Minorities'!G10</f>
        <v>6.4602490421455938</v>
      </c>
      <c r="L10" s="1">
        <f>'Black or African-American'!L10</f>
        <v>1</v>
      </c>
      <c r="M10" s="1">
        <f>Hispanic!L10</f>
        <v>40</v>
      </c>
      <c r="N10" s="1">
        <f>Asian!L10</f>
        <v>40</v>
      </c>
      <c r="O10" s="1" t="e">
        <f>Hawaiian!L10</f>
        <v>#VALUE!</v>
      </c>
      <c r="P10" s="1" t="e">
        <f>'Am Indian'!L10</f>
        <v>#VALUE!</v>
      </c>
      <c r="Q10" s="1">
        <f>'Other - Mixed'!L10</f>
        <v>139</v>
      </c>
      <c r="R10" s="1">
        <f>'All Minorities'!L10</f>
        <v>1</v>
      </c>
    </row>
    <row r="11" spans="2:18" ht="15" customHeight="1">
      <c r="B11" s="71" t="s">
        <v>95</v>
      </c>
      <c r="C11" s="72">
        <f>'Black or African-American'!$G11</f>
        <v>1.5550543024227237</v>
      </c>
      <c r="D11" s="72" t="str">
        <f>Hispanic!G11</f>
        <v>**</v>
      </c>
      <c r="E11" s="72" t="str">
        <f>Asian!G11</f>
        <v>**</v>
      </c>
      <c r="F11" s="72" t="str">
        <f>Hawaiian!G11</f>
        <v>*</v>
      </c>
      <c r="G11" s="72" t="str">
        <f>'Am Indian'!G11</f>
        <v>*</v>
      </c>
      <c r="H11" s="72" t="str">
        <f>'Other - Mixed'!G11</f>
        <v>*</v>
      </c>
      <c r="I11" s="73">
        <f>'All Minorities'!G11</f>
        <v>1.5440108892921962</v>
      </c>
      <c r="L11" s="1">
        <f>'Black or African-American'!L11</f>
        <v>1</v>
      </c>
      <c r="M11" s="1">
        <f>Hispanic!L11</f>
        <v>40</v>
      </c>
      <c r="N11" s="1">
        <f>Asian!L11</f>
        <v>40</v>
      </c>
      <c r="O11" s="1" t="e">
        <f>Hawaiian!L11</f>
        <v>#VALUE!</v>
      </c>
      <c r="P11" s="1" t="e">
        <f>'Am Indian'!L11</f>
        <v>#VALUE!</v>
      </c>
      <c r="Q11" s="1">
        <f>'Other - Mixed'!L11</f>
        <v>119</v>
      </c>
      <c r="R11" s="1">
        <f>'All Minorities'!L11</f>
        <v>1</v>
      </c>
    </row>
    <row r="12" spans="2:18" ht="15" customHeight="1">
      <c r="B12" s="71" t="s">
        <v>13</v>
      </c>
      <c r="C12" s="72">
        <f>'Black or African-American'!$G12</f>
        <v>1.2250700841009212</v>
      </c>
      <c r="D12" s="72" t="str">
        <f>Hispanic!G12</f>
        <v>**</v>
      </c>
      <c r="E12" s="72" t="str">
        <f>Asian!G12</f>
        <v>--</v>
      </c>
      <c r="F12" s="72" t="str">
        <f>Hawaiian!G12</f>
        <v>*</v>
      </c>
      <c r="G12" s="72" t="str">
        <f>'Am Indian'!G12</f>
        <v>*</v>
      </c>
      <c r="H12" s="72" t="str">
        <f>'Other - Mixed'!G12</f>
        <v>*</v>
      </c>
      <c r="I12" s="73">
        <f>'All Minorities'!G12</f>
        <v>1.2220396738469026</v>
      </c>
      <c r="L12" s="1">
        <f>'Black or African-American'!L12</f>
        <v>1</v>
      </c>
      <c r="M12" s="1">
        <f>Hispanic!L12</f>
        <v>40</v>
      </c>
      <c r="N12" s="1" t="e">
        <f>Asian!L12</f>
        <v>#VALUE!</v>
      </c>
      <c r="O12" s="1" t="e">
        <f>Hawaiian!L12</f>
        <v>#VALUE!</v>
      </c>
      <c r="P12" s="1" t="e">
        <f>'Am Indian'!L12</f>
        <v>#VALUE!</v>
      </c>
      <c r="Q12" s="1">
        <f>'Other - Mixed'!L12</f>
        <v>139</v>
      </c>
      <c r="R12" s="1">
        <f>'All Minorities'!L12</f>
        <v>1</v>
      </c>
    </row>
    <row r="13" spans="2:18" ht="15" customHeight="1">
      <c r="B13" s="71" t="s">
        <v>14</v>
      </c>
      <c r="C13" s="72">
        <f>'Black or African-American'!$G13</f>
        <v>0.90133779264214053</v>
      </c>
      <c r="D13" s="72" t="str">
        <f>Hispanic!G13</f>
        <v>**</v>
      </c>
      <c r="E13" s="72" t="str">
        <f>Asian!G13</f>
        <v>--</v>
      </c>
      <c r="F13" s="72" t="str">
        <f>Hawaiian!G13</f>
        <v>*</v>
      </c>
      <c r="G13" s="72" t="str">
        <f>'Am Indian'!G13</f>
        <v>*</v>
      </c>
      <c r="H13" s="72" t="str">
        <f>'Other - Mixed'!G13</f>
        <v>*</v>
      </c>
      <c r="I13" s="73">
        <f>'All Minorities'!G13</f>
        <v>0.92460519612837511</v>
      </c>
      <c r="L13" s="1">
        <f>'Black or African-American'!L13</f>
        <v>2</v>
      </c>
      <c r="M13" s="1">
        <f>Hispanic!L13</f>
        <v>40</v>
      </c>
      <c r="N13" s="1" t="e">
        <f>Asian!L13</f>
        <v>#VALUE!</v>
      </c>
      <c r="O13" s="1" t="e">
        <f>Hawaiian!L13</f>
        <v>#VALUE!</v>
      </c>
      <c r="P13" s="1" t="e">
        <f>'Am Indian'!L13</f>
        <v>#VALUE!</v>
      </c>
      <c r="Q13" s="1">
        <f>'Other - Mixed'!L13</f>
        <v>139</v>
      </c>
      <c r="R13" s="1">
        <f>'All Minorities'!L13</f>
        <v>2</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f>Hispanic!L14</f>
        <v>40</v>
      </c>
      <c r="N14" s="1" t="e">
        <f>Asian!L14</f>
        <v>#VALUE!</v>
      </c>
      <c r="O14" s="1" t="e">
        <f>Hawaiian!L14</f>
        <v>#VALUE!</v>
      </c>
      <c r="P14" s="1" t="e">
        <f>'Am Indian'!L14</f>
        <v>#VALUE!</v>
      </c>
      <c r="Q14" s="1">
        <f>'Other - Mixed'!L14</f>
        <v>139</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f>'Black or African-American'!L15</f>
        <v>40</v>
      </c>
      <c r="M15" s="1">
        <f>Hispanic!L15</f>
        <v>40</v>
      </c>
      <c r="N15" s="1" t="e">
        <f>Asian!L15</f>
        <v>#VALUE!</v>
      </c>
      <c r="O15" s="1" t="e">
        <f>Hawaiian!L15</f>
        <v>#VALUE!</v>
      </c>
      <c r="P15" s="1" t="e">
        <f>'Am Indian'!L15</f>
        <v>#VALUE!</v>
      </c>
      <c r="Q15" s="1">
        <f>'Other - Mixed'!L15</f>
        <v>139</v>
      </c>
      <c r="R15" s="1">
        <f>'All Minorities'!L15</f>
        <v>40</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15170</v>
      </c>
      <c r="D3" s="57">
        <f>'Data Entry'!C6</f>
        <v>10214</v>
      </c>
      <c r="E3" s="57">
        <f>'Data Entry'!D6</f>
        <v>3102</v>
      </c>
      <c r="F3" s="57">
        <f>'Data Entry'!E6</f>
        <v>1440</v>
      </c>
      <c r="G3" s="57">
        <f>'Data Entry'!F6</f>
        <v>297</v>
      </c>
      <c r="H3" s="57">
        <f>'Data Entry'!G6</f>
        <v>0</v>
      </c>
      <c r="I3" s="57">
        <f>'Data Entry'!H6</f>
        <v>117</v>
      </c>
      <c r="J3" s="57">
        <f>'Data Entry'!I6</f>
        <v>0</v>
      </c>
      <c r="K3" s="57">
        <f>'Data Entry'!J6</f>
        <v>4956</v>
      </c>
    </row>
    <row r="4" spans="2:11" ht="15" customHeight="1">
      <c r="B4" s="16" t="s">
        <v>8</v>
      </c>
      <c r="C4" s="1">
        <f>IF((C$3&gt;0),(1000*('Data Entry'!B7/'Data Entry'!B$6)), 0)</f>
        <v>16.282135794330916</v>
      </c>
      <c r="D4" s="1">
        <f>IF((D$3&gt;0),(1000*('Data Entry'!C7/'Data Entry'!C$6)), 0)</f>
        <v>6.0700998629332288</v>
      </c>
      <c r="E4" s="1">
        <f>IF((E$3&gt;0),(1000*('Data Entry'!D7/'Data Entry'!D$6)), 0)</f>
        <v>54.158607350096716</v>
      </c>
      <c r="F4" s="1">
        <f>IF((F$3&gt;0),(1000*('Data Entry'!E7/'Data Entry'!E$6)), 0)</f>
        <v>4.8611111111111116</v>
      </c>
      <c r="G4" s="1">
        <f>IF((G$3&gt;0),(1000*('Data Entry'!F7/'Data Entry'!F$6)), 0)</f>
        <v>0</v>
      </c>
      <c r="H4" s="1">
        <f>IF((H$3&gt;0),(1000*('Data Entry'!G7/'Data Entry'!G$6)), 0)</f>
        <v>0</v>
      </c>
      <c r="I4" s="1">
        <f>IF((I$3&gt;0),(1000*('Data Entry'!H7/'Data Entry'!H$6)), 0)</f>
        <v>25.641025641025639</v>
      </c>
      <c r="J4" s="1">
        <f>IF((J$3&gt;0),(1000*('Data Entry'!I7/'Data Entry'!I$6)), 0)</f>
        <v>0</v>
      </c>
      <c r="K4" s="1">
        <f>IF((K$3&gt;0),(1000*('Data Entry'!J7/'Data Entry'!J$6)), 0)</f>
        <v>35.916061339790154</v>
      </c>
    </row>
    <row r="5" spans="2:11" ht="15" customHeight="1">
      <c r="B5" s="16" t="s">
        <v>9</v>
      </c>
      <c r="C5" s="1">
        <f>IF((C$3&gt;0),(1000*('Data Entry'!B8/'Data Entry'!B$6)), 0)</f>
        <v>42.254449571522748</v>
      </c>
      <c r="D5" s="1">
        <f>IF((D$3&gt;0),(1000*('Data Entry'!C8/'Data Entry'!C$6)), 0)</f>
        <v>28.098688075190918</v>
      </c>
      <c r="E5" s="1">
        <f>IF((E$3&gt;0),(1000*('Data Entry'!D8/'Data Entry'!D$6)), 0)</f>
        <v>101.54738878143134</v>
      </c>
      <c r="F5" s="1">
        <f>IF((F$3&gt;0),(1000*('Data Entry'!E8/'Data Entry'!E$6)), 0)</f>
        <v>13.194444444444445</v>
      </c>
      <c r="G5" s="1">
        <f>IF((G$3&gt;0),(1000*('Data Entry'!F8/'Data Entry'!F$6)), 0)</f>
        <v>3.3670033670033668</v>
      </c>
      <c r="H5" s="1">
        <f>IF((H$3&gt;0),(1000*('Data Entry'!G8/'Data Entry'!G$6)), 0)</f>
        <v>0</v>
      </c>
      <c r="I5" s="1">
        <f>IF((I$3&gt;0),(1000*('Data Entry'!H8/'Data Entry'!H$6)), 0)</f>
        <v>0</v>
      </c>
      <c r="J5" s="1">
        <f>IF((J$3&gt;0),(1000*('Data Entry'!I8/'Data Entry'!I$6)), 0)</f>
        <v>0</v>
      </c>
      <c r="K5" s="1">
        <f>IF((K$3&gt;0),(1000*('Data Entry'!J8/'Data Entry'!J$6)), 0)</f>
        <v>70.217917675544797</v>
      </c>
    </row>
    <row r="6" spans="2:11" ht="15" customHeight="1">
      <c r="B6" s="16" t="s">
        <v>10</v>
      </c>
      <c r="C6" s="1">
        <f>IF((C$3&gt;0),(1000*('Data Entry'!B9/'Data Entry'!B$6)), 0)</f>
        <v>16.875411997363216</v>
      </c>
      <c r="D6" s="1">
        <f>IF((D$3&gt;0),(1000*('Data Entry'!C9/'Data Entry'!C$6)), 0)</f>
        <v>14.881535147836303</v>
      </c>
      <c r="E6" s="1">
        <f>IF((E$3&gt;0),(1000*('Data Entry'!D9/'Data Entry'!D$6)), 0)</f>
        <v>27.401676337846549</v>
      </c>
      <c r="F6" s="1">
        <f>IF((F$3&gt;0),(1000*('Data Entry'!E9/'Data Entry'!E$6)), 0)</f>
        <v>6.9444444444444438</v>
      </c>
      <c r="G6" s="1">
        <f>IF((G$3&gt;0),(1000*('Data Entry'!F9/'Data Entry'!F$6)), 0)</f>
        <v>3.3670033670033668</v>
      </c>
      <c r="H6" s="1">
        <f>IF((H$3&gt;0),(1000*('Data Entry'!G9/'Data Entry'!G$6)), 0)</f>
        <v>0</v>
      </c>
      <c r="I6" s="1">
        <f>IF((I$3&gt;0),(1000*('Data Entry'!H9/'Data Entry'!H$6)), 0)</f>
        <v>0</v>
      </c>
      <c r="J6" s="1">
        <f>IF((J$3&gt;0),(1000*('Data Entry'!I9/'Data Entry'!I$6)), 0)</f>
        <v>0</v>
      </c>
      <c r="K6" s="1">
        <f>IF((K$3&gt;0),(1000*('Data Entry'!J9/'Data Entry'!J$6)), 0)</f>
        <v>19.975786924939467</v>
      </c>
    </row>
    <row r="7" spans="2:11" ht="15" customHeight="1">
      <c r="B7" s="16" t="s">
        <v>11</v>
      </c>
      <c r="C7" s="1">
        <f>IF((C$3&gt;0),(1000*('Data Entry'!B10/'Data Entry'!B$6)), 0)</f>
        <v>6.9874752801582076</v>
      </c>
      <c r="D7" s="1">
        <f>IF((D$3&gt;0),(1000*('Data Entry'!C10/'Data Entry'!C$6)), 0)</f>
        <v>1.1748580379870766</v>
      </c>
      <c r="E7" s="1">
        <f>IF((E$3&gt;0),(1000*('Data Entry'!D10/'Data Entry'!D$6)), 0)</f>
        <v>29.980657640232106</v>
      </c>
      <c r="F7" s="1">
        <f>IF((F$3&gt;0),(1000*('Data Entry'!E10/'Data Entry'!E$6)), 0)</f>
        <v>0.69444444444444442</v>
      </c>
      <c r="G7" s="1">
        <f>IF((G$3&gt;0),(1000*('Data Entry'!F10/'Data Entry'!F$6)), 0)</f>
        <v>0</v>
      </c>
      <c r="H7" s="1">
        <f>IF((H$3&gt;0),(1000*('Data Entry'!G10/'Data Entry'!G$6)), 0)</f>
        <v>0</v>
      </c>
      <c r="I7" s="1">
        <f>IF((I$3&gt;0),(1000*('Data Entry'!H10/'Data Entry'!H$6)), 0)</f>
        <v>0</v>
      </c>
      <c r="J7" s="1">
        <f>IF((J$3&gt;0),(1000*('Data Entry'!I10/'Data Entry'!I$6)), 0)</f>
        <v>0</v>
      </c>
      <c r="K7" s="1">
        <f>IF((K$3&gt;0),(1000*('Data Entry'!J10/'Data Entry'!J$6)), 0)</f>
        <v>18.966908797417272</v>
      </c>
    </row>
    <row r="8" spans="2:11" ht="15" customHeight="1">
      <c r="B8" s="16" t="s">
        <v>95</v>
      </c>
      <c r="C8" s="1">
        <f>IF((C$3&gt;0),(1000*('Data Entry'!B11/'Data Entry'!B$6)), 0)</f>
        <v>25.181278839815423</v>
      </c>
      <c r="D8" s="1">
        <f>IF((D$3&gt;0),(1000*('Data Entry'!C11/'Data Entry'!C$6)), 0)</f>
        <v>13.021343254356767</v>
      </c>
      <c r="E8" s="1">
        <f>IF((E$3&gt;0),(1000*('Data Entry'!D11/'Data Entry'!D$6)), 0)</f>
        <v>73.178594455190208</v>
      </c>
      <c r="F8" s="1">
        <f>IF((F$3&gt;0),(1000*('Data Entry'!E11/'Data Entry'!E$6)), 0)</f>
        <v>5.5555555555555554</v>
      </c>
      <c r="G8" s="1">
        <f>IF((G$3&gt;0),(1000*('Data Entry'!F11/'Data Entry'!F$6)), 0)</f>
        <v>0</v>
      </c>
      <c r="H8" s="1">
        <f>IF((H$3&gt;0),(1000*('Data Entry'!G11/'Data Entry'!G$6)), 0)</f>
        <v>0</v>
      </c>
      <c r="I8" s="1">
        <f>IF((I$3&gt;0),(1000*('Data Entry'!H11/'Data Entry'!H$6)), 0)</f>
        <v>0</v>
      </c>
      <c r="J8" s="1">
        <f>IF((J$3&gt;0),(1000*('Data Entry'!I11/'Data Entry'!I$6)), 0)</f>
        <v>0</v>
      </c>
      <c r="K8" s="1">
        <f>IF((K$3&gt;0),(1000*('Data Entry'!J11/'Data Entry'!J$6)), 0)</f>
        <v>50.242130750605327</v>
      </c>
    </row>
    <row r="9" spans="2:11" ht="15" customHeight="1">
      <c r="B9" s="16" t="s">
        <v>13</v>
      </c>
      <c r="C9" s="1">
        <f>IF((C$3&gt;0),(1000*('Data Entry'!B12/'Data Entry'!B$6)), 0)</f>
        <v>14.304548450889914</v>
      </c>
      <c r="D9" s="1">
        <f>IF((D$3&gt;0),(1000*('Data Entry'!C12/'Data Entry'!C$6)), 0)</f>
        <v>6.4617192089289217</v>
      </c>
      <c r="E9" s="1">
        <f>IF((E$3&gt;0),(1000*('Data Entry'!D12/'Data Entry'!D$6)), 0)</f>
        <v>44.487427466150869</v>
      </c>
      <c r="F9" s="1">
        <f>IF((F$3&gt;0),(1000*('Data Entry'!E12/'Data Entry'!E$6)), 0)</f>
        <v>3.4722222222222219</v>
      </c>
      <c r="G9" s="1">
        <f>IF((G$3&gt;0),(1000*('Data Entry'!F12/'Data Entry'!F$6)), 0)</f>
        <v>0</v>
      </c>
      <c r="H9" s="1">
        <f>IF((H$3&gt;0),(1000*('Data Entry'!G12/'Data Entry'!G$6)), 0)</f>
        <v>0</v>
      </c>
      <c r="I9" s="1">
        <f>IF((I$3&gt;0),(1000*('Data Entry'!H12/'Data Entry'!H$6)), 0)</f>
        <v>0</v>
      </c>
      <c r="J9" s="1">
        <f>IF((J$3&gt;0),(1000*('Data Entry'!I12/'Data Entry'!I$6)), 0)</f>
        <v>0</v>
      </c>
      <c r="K9" s="1">
        <f>IF((K$3&gt;0),(1000*('Data Entry'!J12/'Data Entry'!J$6)), 0)</f>
        <v>30.468119451170299</v>
      </c>
    </row>
    <row r="10" spans="2:11" ht="15" customHeight="1">
      <c r="B10" s="16" t="s">
        <v>14</v>
      </c>
      <c r="C10" s="1">
        <f>IF((C$3&gt;0),(1000*('Data Entry'!B13/'Data Entry'!B$6)), 0)</f>
        <v>10.67897165458141</v>
      </c>
      <c r="D10" s="1">
        <f>IF((D$3&gt;0),(1000*('Data Entry'!C13/'Data Entry'!C$6)), 0)</f>
        <v>5.0910514979439982</v>
      </c>
      <c r="E10" s="1">
        <f>IF((E$3&gt;0),(1000*('Data Entry'!D13/'Data Entry'!D$6)), 0)</f>
        <v>31.592520954223083</v>
      </c>
      <c r="F10" s="1">
        <f>IF((F$3&gt;0),(1000*('Data Entry'!E13/'Data Entry'!E$6)), 0)</f>
        <v>2.7777777777777777</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22.195318805488295</v>
      </c>
    </row>
    <row r="11" spans="2:11" ht="25.5" customHeight="1">
      <c r="B11" s="16" t="s">
        <v>15</v>
      </c>
      <c r="C11" s="1">
        <f>IF((C$3&gt;0),(1000*('Data Entry'!B14/'Data Entry'!B$6)), 0)</f>
        <v>1.7139090309822016</v>
      </c>
      <c r="D11" s="1">
        <f>IF((D$3&gt;0),(1000*('Data Entry'!C14/'Data Entry'!C$6)), 0)</f>
        <v>0.48952418249461521</v>
      </c>
      <c r="E11" s="1">
        <f>IF((E$3&gt;0),(1000*('Data Entry'!D14/'Data Entry'!D$6)), 0)</f>
        <v>6.447453255963894</v>
      </c>
      <c r="F11" s="1">
        <f>IF((F$3&gt;0),(1000*('Data Entry'!E14/'Data Entry'!E$6)), 0)</f>
        <v>0.69444444444444442</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4.2372881355932206</v>
      </c>
    </row>
    <row r="12" spans="2:11" ht="15" customHeight="1">
      <c r="B12" s="16" t="s">
        <v>16</v>
      </c>
      <c r="C12" s="1">
        <f>IF((C$3&gt;0),(1000*('Data Entry'!B15/'Data Entry'!B$6)), 0)</f>
        <v>0.92287409360580086</v>
      </c>
      <c r="D12" s="1">
        <f>IF((D$3&gt;0),(1000*('Data Entry'!C15/'Data Entry'!C$6)), 0)</f>
        <v>0.48952418249461521</v>
      </c>
      <c r="E12" s="1">
        <f>IF((E$3&gt;0),(1000*('Data Entry'!D15/'Data Entry'!D$6)), 0)</f>
        <v>2.9013539651837523</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1.8159806295399517</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Berrien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8.9221937979659334</v>
      </c>
      <c r="E19" s="72">
        <f t="shared" si="1"/>
        <v>0.80082885304659512</v>
      </c>
      <c r="F19" s="72" t="str">
        <f t="shared" si="1"/>
        <v>--</v>
      </c>
      <c r="G19" s="72" t="str">
        <f t="shared" si="1"/>
        <v>--</v>
      </c>
      <c r="H19" s="72">
        <f t="shared" si="1"/>
        <v>4.2241521918941274</v>
      </c>
      <c r="I19" s="72" t="str">
        <f t="shared" si="1"/>
        <v>--</v>
      </c>
      <c r="J19" s="73">
        <f t="shared" si="1"/>
        <v>5.9168814600744621</v>
      </c>
    </row>
    <row r="20" spans="2:10" ht="15" customHeight="1">
      <c r="B20" s="71" t="s">
        <v>9</v>
      </c>
      <c r="C20" s="72">
        <f t="shared" ref="C20:J27" si="2">IF(AND(($D5&gt;0),(D5&gt;0)), (D5/$D5),"--")</f>
        <v>1</v>
      </c>
      <c r="D20" s="72">
        <f t="shared" si="2"/>
        <v>3.6139548049252248</v>
      </c>
      <c r="E20" s="72">
        <f t="shared" si="2"/>
        <v>0.46957510646535033</v>
      </c>
      <c r="F20" s="72">
        <f t="shared" si="2"/>
        <v>0.1198277783643637</v>
      </c>
      <c r="G20" s="72" t="str">
        <f t="shared" si="2"/>
        <v>--</v>
      </c>
      <c r="H20" s="72" t="str">
        <f t="shared" si="2"/>
        <v>--</v>
      </c>
      <c r="I20" s="72" t="str">
        <f t="shared" si="2"/>
        <v>--</v>
      </c>
      <c r="J20" s="73">
        <f t="shared" si="2"/>
        <v>2.498974951700399</v>
      </c>
    </row>
    <row r="21" spans="2:10" ht="15" customHeight="1">
      <c r="B21" s="71" t="s">
        <v>10</v>
      </c>
      <c r="C21" s="72">
        <f t="shared" si="2"/>
        <v>1</v>
      </c>
      <c r="D21" s="72">
        <f t="shared" si="2"/>
        <v>1.8413205402287149</v>
      </c>
      <c r="E21" s="72">
        <f t="shared" si="2"/>
        <v>0.46664839181286544</v>
      </c>
      <c r="F21" s="72">
        <f t="shared" si="2"/>
        <v>0.22625376572744993</v>
      </c>
      <c r="G21" s="72" t="str">
        <f t="shared" si="2"/>
        <v>--</v>
      </c>
      <c r="H21" s="72" t="str">
        <f t="shared" si="2"/>
        <v>--</v>
      </c>
      <c r="I21" s="72" t="str">
        <f t="shared" si="2"/>
        <v>--</v>
      </c>
      <c r="J21" s="73">
        <f t="shared" si="2"/>
        <v>1.3423203134956034</v>
      </c>
    </row>
    <row r="22" spans="2:10" ht="15" customHeight="1">
      <c r="B22" s="71" t="s">
        <v>11</v>
      </c>
      <c r="C22" s="72">
        <f t="shared" si="2"/>
        <v>1</v>
      </c>
      <c r="D22" s="72">
        <f t="shared" si="2"/>
        <v>25.518536428110895</v>
      </c>
      <c r="E22" s="72">
        <f t="shared" si="2"/>
        <v>0.59108796296296295</v>
      </c>
      <c r="F22" s="72" t="str">
        <f t="shared" si="2"/>
        <v>--</v>
      </c>
      <c r="G22" s="72" t="str">
        <f t="shared" si="2"/>
        <v>--</v>
      </c>
      <c r="H22" s="72" t="str">
        <f t="shared" si="2"/>
        <v>--</v>
      </c>
      <c r="I22" s="72" t="str">
        <f t="shared" si="2"/>
        <v>--</v>
      </c>
      <c r="J22" s="73">
        <f t="shared" si="2"/>
        <v>16.144000538068333</v>
      </c>
    </row>
    <row r="23" spans="2:10" ht="15" customHeight="1">
      <c r="B23" s="71" t="s">
        <v>95</v>
      </c>
      <c r="C23" s="72">
        <f t="shared" si="2"/>
        <v>1</v>
      </c>
      <c r="D23" s="72">
        <f t="shared" si="2"/>
        <v>5.6198959681602458</v>
      </c>
      <c r="E23" s="72">
        <f t="shared" si="2"/>
        <v>0.42664995822890556</v>
      </c>
      <c r="F23" s="72" t="str">
        <f t="shared" si="2"/>
        <v>--</v>
      </c>
      <c r="G23" s="72" t="str">
        <f t="shared" si="2"/>
        <v>--</v>
      </c>
      <c r="H23" s="72" t="str">
        <f t="shared" si="2"/>
        <v>--</v>
      </c>
      <c r="I23" s="72" t="str">
        <f t="shared" si="2"/>
        <v>--</v>
      </c>
      <c r="J23" s="73">
        <f t="shared" si="2"/>
        <v>3.8584445374938552</v>
      </c>
    </row>
    <row r="24" spans="2:10" ht="15" customHeight="1">
      <c r="B24" s="71" t="s">
        <v>13</v>
      </c>
      <c r="C24" s="72">
        <f t="shared" si="2"/>
        <v>1</v>
      </c>
      <c r="D24" s="72">
        <f t="shared" si="2"/>
        <v>6.884766426352499</v>
      </c>
      <c r="E24" s="72">
        <f t="shared" si="2"/>
        <v>0.53735269360269344</v>
      </c>
      <c r="F24" s="72" t="str">
        <f t="shared" si="2"/>
        <v>--</v>
      </c>
      <c r="G24" s="72" t="str">
        <f t="shared" si="2"/>
        <v>--</v>
      </c>
      <c r="H24" s="72" t="str">
        <f t="shared" si="2"/>
        <v>--</v>
      </c>
      <c r="I24" s="72" t="str">
        <f t="shared" si="2"/>
        <v>--</v>
      </c>
      <c r="J24" s="73">
        <f t="shared" si="2"/>
        <v>4.715172304155355</v>
      </c>
    </row>
    <row r="25" spans="2:10" ht="15" customHeight="1">
      <c r="B25" s="71" t="s">
        <v>14</v>
      </c>
      <c r="C25" s="72">
        <f t="shared" si="2"/>
        <v>1</v>
      </c>
      <c r="D25" s="72">
        <f t="shared" si="2"/>
        <v>6.2055001735852802</v>
      </c>
      <c r="E25" s="72">
        <f t="shared" si="2"/>
        <v>0.54561965811965807</v>
      </c>
      <c r="F25" s="72" t="str">
        <f t="shared" si="2"/>
        <v>--</v>
      </c>
      <c r="G25" s="72" t="str">
        <f t="shared" si="2"/>
        <v>--</v>
      </c>
      <c r="H25" s="72" t="str">
        <f t="shared" si="2"/>
        <v>--</v>
      </c>
      <c r="I25" s="72" t="str">
        <f t="shared" si="2"/>
        <v>--</v>
      </c>
      <c r="J25" s="73">
        <f t="shared" si="2"/>
        <v>4.3596728130626436</v>
      </c>
    </row>
    <row r="26" spans="2:10" ht="25.5" customHeight="1">
      <c r="B26" s="71" t="s">
        <v>15</v>
      </c>
      <c r="C26" s="72">
        <f t="shared" si="2"/>
        <v>1</v>
      </c>
      <c r="D26" s="72">
        <f t="shared" si="2"/>
        <v>13.170857511283042</v>
      </c>
      <c r="E26" s="72">
        <f t="shared" si="2"/>
        <v>1.418611111111111</v>
      </c>
      <c r="F26" s="72" t="str">
        <f t="shared" si="2"/>
        <v>--</v>
      </c>
      <c r="G26" s="72" t="str">
        <f t="shared" si="2"/>
        <v>--</v>
      </c>
      <c r="H26" s="72" t="str">
        <f t="shared" si="2"/>
        <v>--</v>
      </c>
      <c r="I26" s="72" t="str">
        <f t="shared" si="2"/>
        <v>--</v>
      </c>
      <c r="J26" s="73">
        <f t="shared" si="2"/>
        <v>8.6559322033898312</v>
      </c>
    </row>
    <row r="27" spans="2:10" ht="15" customHeight="1">
      <c r="B27" s="71" t="s">
        <v>16</v>
      </c>
      <c r="C27" s="72">
        <f t="shared" si="2"/>
        <v>1</v>
      </c>
      <c r="D27" s="72">
        <f t="shared" si="2"/>
        <v>5.9268858800773696</v>
      </c>
      <c r="E27" s="72" t="str">
        <f t="shared" si="2"/>
        <v>--</v>
      </c>
      <c r="F27" s="72" t="str">
        <f t="shared" si="2"/>
        <v>--</v>
      </c>
      <c r="G27" s="72" t="str">
        <f t="shared" si="2"/>
        <v>--</v>
      </c>
      <c r="H27" s="72" t="str">
        <f t="shared" si="2"/>
        <v>--</v>
      </c>
      <c r="I27" s="72" t="str">
        <f t="shared" si="2"/>
        <v>--</v>
      </c>
      <c r="J27" s="73">
        <f t="shared" si="2"/>
        <v>3.7096852300242134</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113</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Berrien</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111</v>
      </c>
      <c r="C6" s="146" t="s">
        <v>109</v>
      </c>
      <c r="D6" s="147" t="s">
        <v>109</v>
      </c>
      <c r="E6" s="148" t="s">
        <v>110</v>
      </c>
      <c r="F6" s="147" t="s">
        <v>109</v>
      </c>
      <c r="G6" s="148" t="s">
        <v>110</v>
      </c>
      <c r="H6" s="147" t="s">
        <v>109</v>
      </c>
      <c r="I6" s="148" t="s">
        <v>110</v>
      </c>
      <c r="J6" s="147" t="s">
        <v>109</v>
      </c>
      <c r="K6" s="148" t="s">
        <v>110</v>
      </c>
      <c r="L6" s="147" t="s">
        <v>109</v>
      </c>
      <c r="M6" s="148" t="s">
        <v>110</v>
      </c>
      <c r="N6" s="147" t="s">
        <v>109</v>
      </c>
      <c r="O6" s="148" t="s">
        <v>110</v>
      </c>
      <c r="P6" s="147" t="s">
        <v>109</v>
      </c>
      <c r="Q6" s="149" t="s">
        <v>110</v>
      </c>
    </row>
    <row r="7" spans="2:26" s="8" customFormat="1" ht="18" customHeight="1">
      <c r="B7" s="143" t="str">
        <f>'Data Entry'!A6</f>
        <v>1. Population at Risk (age 10 through 17)</v>
      </c>
      <c r="C7" s="103">
        <f>'Data Entry'!C6</f>
        <v>10214</v>
      </c>
      <c r="D7" s="104">
        <f>'Data Entry'!D6</f>
        <v>3102</v>
      </c>
      <c r="E7" s="105"/>
      <c r="F7" s="106">
        <f>'Data Entry'!E6</f>
        <v>1440</v>
      </c>
      <c r="G7" s="105"/>
      <c r="H7" s="106">
        <f>'Data Entry'!F6</f>
        <v>297</v>
      </c>
      <c r="I7" s="105"/>
      <c r="J7" s="106">
        <f>'Data Entry'!G6</f>
        <v>0</v>
      </c>
      <c r="K7" s="105"/>
      <c r="L7" s="106">
        <f>'Data Entry'!H6</f>
        <v>117</v>
      </c>
      <c r="M7" s="105"/>
      <c r="N7" s="106">
        <f>'Data Entry'!I6</f>
        <v>0</v>
      </c>
      <c r="O7" s="105"/>
      <c r="P7" s="106">
        <f>'Data Entry'!J6</f>
        <v>4956</v>
      </c>
      <c r="Q7" s="107"/>
    </row>
    <row r="8" spans="2:26" s="1" customFormat="1" ht="15" customHeight="1">
      <c r="B8" s="142" t="s">
        <v>8</v>
      </c>
      <c r="C8" s="103">
        <f>'Data Entry'!C7</f>
        <v>62</v>
      </c>
      <c r="D8" s="104">
        <f>'Data Entry'!D7</f>
        <v>168</v>
      </c>
      <c r="E8" s="105">
        <f>'Black or African-American'!$G7</f>
        <v>8.9221937979659334</v>
      </c>
      <c r="F8" s="106">
        <f>'Data Entry'!E7</f>
        <v>7</v>
      </c>
      <c r="G8" s="105">
        <f>Hispanic!G7</f>
        <v>0.80082885304659512</v>
      </c>
      <c r="H8" s="106">
        <f>'Data Entry'!F7</f>
        <v>0</v>
      </c>
      <c r="I8" s="105" t="str">
        <f>Asian!G7</f>
        <v>**</v>
      </c>
      <c r="J8" s="106">
        <f>'Data Entry'!G7</f>
        <v>0</v>
      </c>
      <c r="K8" s="105" t="str">
        <f>Hawaiian!G7</f>
        <v>*</v>
      </c>
      <c r="L8" s="106">
        <f>'Data Entry'!H7</f>
        <v>3</v>
      </c>
      <c r="M8" s="105" t="str">
        <f>'Am Indian'!G7</f>
        <v>*</v>
      </c>
      <c r="N8" s="106">
        <f>'Data Entry'!I7</f>
        <v>0</v>
      </c>
      <c r="O8" s="105" t="str">
        <f>'Other - Mixed'!G7</f>
        <v>*</v>
      </c>
      <c r="P8" s="106">
        <f>'Data Entry'!J7</f>
        <v>178</v>
      </c>
      <c r="Q8" s="107">
        <f>'All Minorities'!G7</f>
        <v>5.9168814600744604</v>
      </c>
      <c r="R8"/>
      <c r="T8" s="1">
        <f>'Black or African-American'!L7</f>
        <v>1</v>
      </c>
      <c r="U8" s="1">
        <f>Hispanic!L7</f>
        <v>2</v>
      </c>
      <c r="V8" s="1">
        <f>Asian!L7</f>
        <v>40</v>
      </c>
      <c r="W8" s="1" t="e">
        <f>Hawaiian!L7</f>
        <v>#VALUE!</v>
      </c>
      <c r="X8" s="1">
        <f>'Am Indian'!L7</f>
        <v>119</v>
      </c>
      <c r="Y8" s="1" t="e">
        <f>'Other - Mixed'!L7</f>
        <v>#VALUE!</v>
      </c>
      <c r="Z8" s="1">
        <f>'All Minorities'!L7</f>
        <v>1</v>
      </c>
    </row>
    <row r="9" spans="2:26" s="1" customFormat="1" ht="15" customHeight="1">
      <c r="B9" s="142" t="s">
        <v>126</v>
      </c>
      <c r="C9" s="103">
        <f>'Data Entry'!C8</f>
        <v>287</v>
      </c>
      <c r="D9" s="108">
        <f>'Data Entry'!D8</f>
        <v>315</v>
      </c>
      <c r="E9" s="109">
        <f>'Black or African-American'!$G8</f>
        <v>0.40505226480836232</v>
      </c>
      <c r="F9" s="110">
        <f>'Data Entry'!E8</f>
        <v>19</v>
      </c>
      <c r="G9" s="109" t="str">
        <f>Hispanic!G8</f>
        <v>**</v>
      </c>
      <c r="H9" s="110">
        <f>'Data Entry'!F8</f>
        <v>1</v>
      </c>
      <c r="I9" s="109" t="str">
        <f>Asian!G8</f>
        <v>**</v>
      </c>
      <c r="J9" s="110">
        <f>'Data Entry'!G8</f>
        <v>0</v>
      </c>
      <c r="K9" s="109" t="str">
        <f>Hawaiian!G8</f>
        <v>*</v>
      </c>
      <c r="L9" s="110">
        <f>'Data Entry'!H8</f>
        <v>0</v>
      </c>
      <c r="M9" s="109" t="str">
        <f>'Am Indian'!G8</f>
        <v>*</v>
      </c>
      <c r="N9" s="110">
        <f>'Data Entry'!I8</f>
        <v>13</v>
      </c>
      <c r="O9" s="109" t="str">
        <f>'Other - Mixed'!G8</f>
        <v>*</v>
      </c>
      <c r="P9" s="110">
        <f>'Data Entry'!J8</f>
        <v>348</v>
      </c>
      <c r="Q9" s="111">
        <f>'All Minorities'!G8</f>
        <v>0.4223466311709666</v>
      </c>
      <c r="R9"/>
      <c r="T9" s="1">
        <f>'Black or African-American'!L8</f>
        <v>1</v>
      </c>
      <c r="U9" s="1">
        <f>Hispanic!L8</f>
        <v>40</v>
      </c>
      <c r="V9" s="1">
        <f>Asian!L8</f>
        <v>40</v>
      </c>
      <c r="W9" s="1">
        <f>Hawaiian!L8</f>
        <v>139</v>
      </c>
      <c r="X9" s="1">
        <f>'Am Indian'!L8</f>
        <v>119</v>
      </c>
      <c r="Y9" s="1">
        <f>'Other - Mixed'!L8</f>
        <v>119</v>
      </c>
      <c r="Z9" s="1">
        <f>'All Minorities'!L8</f>
        <v>1</v>
      </c>
    </row>
    <row r="10" spans="2:26" s="1" customFormat="1" ht="15" customHeight="1">
      <c r="B10" s="142" t="s">
        <v>10</v>
      </c>
      <c r="C10" s="103">
        <f>'Data Entry'!C9</f>
        <v>152</v>
      </c>
      <c r="D10" s="112">
        <f>'Data Entry'!D9</f>
        <v>85</v>
      </c>
      <c r="E10" s="113">
        <f>'Black or African-American'!$G9</f>
        <v>0.50950292397660824</v>
      </c>
      <c r="F10" s="114">
        <f>'Data Entry'!E9</f>
        <v>10</v>
      </c>
      <c r="G10" s="113" t="str">
        <f>Hispanic!G9</f>
        <v>**</v>
      </c>
      <c r="H10" s="114">
        <f>'Data Entry'!F9</f>
        <v>1</v>
      </c>
      <c r="I10" s="113" t="str">
        <f>Asian!G9</f>
        <v>**</v>
      </c>
      <c r="J10" s="114">
        <f>'Data Entry'!G9</f>
        <v>0</v>
      </c>
      <c r="K10" s="113" t="str">
        <f>Hawaiian!G9</f>
        <v>*</v>
      </c>
      <c r="L10" s="114">
        <f>'Data Entry'!H9</f>
        <v>0</v>
      </c>
      <c r="M10" s="113" t="str">
        <f>'Am Indian'!G9</f>
        <v>*</v>
      </c>
      <c r="N10" s="114">
        <f>'Data Entry'!I9</f>
        <v>3</v>
      </c>
      <c r="O10" s="113" t="str">
        <f>'Other - Mixed'!G9</f>
        <v>*</v>
      </c>
      <c r="P10" s="114">
        <f>'Data Entry'!J9</f>
        <v>99</v>
      </c>
      <c r="Q10" s="115">
        <f>'All Minorities'!G9</f>
        <v>0.5371483666061706</v>
      </c>
      <c r="R10"/>
      <c r="T10" s="1">
        <f>'Black or African-American'!L9</f>
        <v>1</v>
      </c>
      <c r="U10" s="1">
        <f>Hispanic!L9</f>
        <v>40</v>
      </c>
      <c r="V10" s="1">
        <f>Asian!L9</f>
        <v>40</v>
      </c>
      <c r="W10" s="1" t="e">
        <f>Hawaiian!L9</f>
        <v>#VALUE!</v>
      </c>
      <c r="X10" s="1" t="e">
        <f>'Am Indian'!L9</f>
        <v>#VALUE!</v>
      </c>
      <c r="Y10" s="1">
        <f>'Other - Mixed'!L9</f>
        <v>119</v>
      </c>
      <c r="Z10" s="1">
        <f>'All Minorities'!L9</f>
        <v>1</v>
      </c>
    </row>
    <row r="11" spans="2:26" s="1" customFormat="1" ht="15" customHeight="1">
      <c r="B11" s="142" t="s">
        <v>11</v>
      </c>
      <c r="C11" s="103">
        <f>'Data Entry'!C10</f>
        <v>12</v>
      </c>
      <c r="D11" s="108">
        <f>'Data Entry'!D10</f>
        <v>93</v>
      </c>
      <c r="E11" s="109">
        <f>'Black or African-American'!$G10</f>
        <v>7.0611111111111109</v>
      </c>
      <c r="F11" s="110">
        <f>'Data Entry'!E10</f>
        <v>1</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94</v>
      </c>
      <c r="Q11" s="111">
        <f>'All Minorities'!G10</f>
        <v>6.4602490421455938</v>
      </c>
      <c r="R11"/>
      <c r="T11" s="1">
        <f>'Black or African-American'!L10</f>
        <v>1</v>
      </c>
      <c r="U11" s="1">
        <f>Hispanic!L10</f>
        <v>40</v>
      </c>
      <c r="V11" s="1">
        <f>Asian!L10</f>
        <v>40</v>
      </c>
      <c r="W11" s="1" t="e">
        <f>Hawaiian!L10</f>
        <v>#VALUE!</v>
      </c>
      <c r="X11" s="1" t="e">
        <f>'Am Indian'!L10</f>
        <v>#VALUE!</v>
      </c>
      <c r="Y11" s="1">
        <f>'Other - Mixed'!L10</f>
        <v>139</v>
      </c>
      <c r="Z11" s="1">
        <f>'All Minorities'!L10</f>
        <v>1</v>
      </c>
    </row>
    <row r="12" spans="2:26" s="1" customFormat="1" ht="15" customHeight="1">
      <c r="B12" s="142" t="s">
        <v>95</v>
      </c>
      <c r="C12" s="103">
        <f>'Data Entry'!C11</f>
        <v>133</v>
      </c>
      <c r="D12" s="112">
        <f>'Data Entry'!D11</f>
        <v>227</v>
      </c>
      <c r="E12" s="113">
        <f>'Black or African-American'!$G11</f>
        <v>1.5550543024227237</v>
      </c>
      <c r="F12" s="114">
        <f>'Data Entry'!E11</f>
        <v>8</v>
      </c>
      <c r="G12" s="113" t="str">
        <f>Hispanic!G11</f>
        <v>**</v>
      </c>
      <c r="H12" s="114">
        <f>'Data Entry'!F11</f>
        <v>0</v>
      </c>
      <c r="I12" s="113" t="str">
        <f>Asian!G11</f>
        <v>**</v>
      </c>
      <c r="J12" s="114">
        <f>'Data Entry'!G11</f>
        <v>0</v>
      </c>
      <c r="K12" s="113" t="str">
        <f>Hawaiian!G11</f>
        <v>*</v>
      </c>
      <c r="L12" s="114">
        <f>'Data Entry'!H11</f>
        <v>0</v>
      </c>
      <c r="M12" s="113" t="str">
        <f>'Am Indian'!G11</f>
        <v>*</v>
      </c>
      <c r="N12" s="114">
        <f>'Data Entry'!I11</f>
        <v>14</v>
      </c>
      <c r="O12" s="113" t="str">
        <f>'Other - Mixed'!G11</f>
        <v>*</v>
      </c>
      <c r="P12" s="114">
        <f>'Data Entry'!J11</f>
        <v>249</v>
      </c>
      <c r="Q12" s="115">
        <f>'All Minorities'!G11</f>
        <v>1.5440108892921962</v>
      </c>
      <c r="R12"/>
      <c r="T12" s="1">
        <f>'Black or African-American'!L11</f>
        <v>1</v>
      </c>
      <c r="U12" s="1">
        <f>Hispanic!L11</f>
        <v>40</v>
      </c>
      <c r="V12" s="1">
        <f>Asian!L11</f>
        <v>40</v>
      </c>
      <c r="W12" s="1" t="e">
        <f>Hawaiian!L11</f>
        <v>#VALUE!</v>
      </c>
      <c r="X12" s="1" t="e">
        <f>'Am Indian'!L11</f>
        <v>#VALUE!</v>
      </c>
      <c r="Y12" s="1">
        <f>'Other - Mixed'!L11</f>
        <v>119</v>
      </c>
      <c r="Z12" s="1">
        <f>'All Minorities'!L11</f>
        <v>1</v>
      </c>
    </row>
    <row r="13" spans="2:26" s="1" customFormat="1" ht="15" customHeight="1">
      <c r="B13" s="142" t="s">
        <v>13</v>
      </c>
      <c r="C13" s="103">
        <f>'Data Entry'!C12</f>
        <v>66</v>
      </c>
      <c r="D13" s="108">
        <f>'Data Entry'!D12</f>
        <v>138</v>
      </c>
      <c r="E13" s="109">
        <f>'Black or African-American'!$G12</f>
        <v>1.2250700841009212</v>
      </c>
      <c r="F13" s="110">
        <f>'Data Entry'!E12</f>
        <v>5</v>
      </c>
      <c r="G13" s="109" t="str">
        <f>Hispanic!G12</f>
        <v>**</v>
      </c>
      <c r="H13" s="110">
        <f>'Data Entry'!F12</f>
        <v>0</v>
      </c>
      <c r="I13" s="109" t="str">
        <f>Asian!G12</f>
        <v>--</v>
      </c>
      <c r="J13" s="110">
        <f>'Data Entry'!G12</f>
        <v>0</v>
      </c>
      <c r="K13" s="109" t="str">
        <f>Hawaiian!G12</f>
        <v>*</v>
      </c>
      <c r="L13" s="110">
        <f>'Data Entry'!H12</f>
        <v>0</v>
      </c>
      <c r="M13" s="109" t="str">
        <f>'Am Indian'!G12</f>
        <v>*</v>
      </c>
      <c r="N13" s="110">
        <f>'Data Entry'!I12</f>
        <v>8</v>
      </c>
      <c r="O13" s="109" t="str">
        <f>'Other - Mixed'!G12</f>
        <v>*</v>
      </c>
      <c r="P13" s="110">
        <f>'Data Entry'!J12</f>
        <v>151</v>
      </c>
      <c r="Q13" s="111">
        <f>'All Minorities'!G12</f>
        <v>1.2220396738469026</v>
      </c>
      <c r="R13"/>
      <c r="T13" s="1">
        <f>'Black or African-American'!L12</f>
        <v>1</v>
      </c>
      <c r="U13" s="1">
        <f>Hispanic!L12</f>
        <v>40</v>
      </c>
      <c r="V13" s="1" t="e">
        <f>Asian!L12</f>
        <v>#VALUE!</v>
      </c>
      <c r="W13" s="1" t="e">
        <f>Hawaiian!L12</f>
        <v>#VALUE!</v>
      </c>
      <c r="X13" s="1" t="e">
        <f>'Am Indian'!L12</f>
        <v>#VALUE!</v>
      </c>
      <c r="Y13" s="1">
        <f>'Other - Mixed'!L12</f>
        <v>139</v>
      </c>
      <c r="Z13" s="1">
        <f>'All Minorities'!L12</f>
        <v>1</v>
      </c>
    </row>
    <row r="14" spans="2:26" s="1" customFormat="1" ht="15" customHeight="1">
      <c r="B14" s="142" t="s">
        <v>125</v>
      </c>
      <c r="C14" s="103">
        <f>'Data Entry'!C13</f>
        <v>52</v>
      </c>
      <c r="D14" s="112">
        <f>'Data Entry'!D13</f>
        <v>98</v>
      </c>
      <c r="E14" s="113">
        <f>'Black or African-American'!$G13</f>
        <v>0.90133779264214053</v>
      </c>
      <c r="F14" s="114">
        <f>'Data Entry'!E13</f>
        <v>4</v>
      </c>
      <c r="G14" s="113" t="str">
        <f>Hispanic!G13</f>
        <v>**</v>
      </c>
      <c r="H14" s="114">
        <f>'Data Entry'!F13</f>
        <v>0</v>
      </c>
      <c r="I14" s="113" t="str">
        <f>Asian!G13</f>
        <v>--</v>
      </c>
      <c r="J14" s="114">
        <f>'Data Entry'!G13</f>
        <v>0</v>
      </c>
      <c r="K14" s="113" t="str">
        <f>Hawaiian!G13</f>
        <v>*</v>
      </c>
      <c r="L14" s="114">
        <f>'Data Entry'!H13</f>
        <v>0</v>
      </c>
      <c r="M14" s="113" t="str">
        <f>'Am Indian'!G13</f>
        <v>*</v>
      </c>
      <c r="N14" s="114">
        <f>'Data Entry'!I13</f>
        <v>8</v>
      </c>
      <c r="O14" s="113" t="str">
        <f>'Other - Mixed'!G13</f>
        <v>*</v>
      </c>
      <c r="P14" s="114">
        <f>'Data Entry'!J13</f>
        <v>110</v>
      </c>
      <c r="Q14" s="115">
        <f>'All Minorities'!G13</f>
        <v>0.92460519612837511</v>
      </c>
      <c r="R14"/>
      <c r="T14" s="1">
        <f>'Black or African-American'!L13</f>
        <v>2</v>
      </c>
      <c r="U14" s="1">
        <f>Hispanic!L13</f>
        <v>40</v>
      </c>
      <c r="V14" s="1" t="e">
        <f>Asian!L13</f>
        <v>#VALUE!</v>
      </c>
      <c r="W14" s="1" t="e">
        <f>Hawaiian!L13</f>
        <v>#VALUE!</v>
      </c>
      <c r="X14" s="1" t="e">
        <f>'Am Indian'!L13</f>
        <v>#VALUE!</v>
      </c>
      <c r="Y14" s="1">
        <f>'Other - Mixed'!L13</f>
        <v>139</v>
      </c>
      <c r="Z14" s="1">
        <f>'All Minorities'!L13</f>
        <v>2</v>
      </c>
    </row>
    <row r="15" spans="2:26" s="1" customFormat="1" ht="33">
      <c r="B15" s="144" t="s">
        <v>115</v>
      </c>
      <c r="C15" s="103">
        <f>'Data Entry'!C14</f>
        <v>5</v>
      </c>
      <c r="D15" s="108">
        <f>'Data Entry'!D14</f>
        <v>20</v>
      </c>
      <c r="E15" s="109" t="str">
        <f>'Black or African-American'!$G14</f>
        <v>**</v>
      </c>
      <c r="F15" s="110">
        <f>'Data Entry'!E14</f>
        <v>1</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21</v>
      </c>
      <c r="Q15" s="111" t="str">
        <f>'All Minorities'!G14</f>
        <v>**</v>
      </c>
      <c r="R15"/>
      <c r="T15" s="1">
        <f>'Black or African-American'!L14</f>
        <v>40</v>
      </c>
      <c r="U15" s="1">
        <f>Hispanic!L14</f>
        <v>40</v>
      </c>
      <c r="V15" s="1" t="e">
        <f>Asian!L14</f>
        <v>#VALUE!</v>
      </c>
      <c r="W15" s="1" t="e">
        <f>Hawaiian!L14</f>
        <v>#VALUE!</v>
      </c>
      <c r="X15" s="1" t="e">
        <f>'Am Indian'!L14</f>
        <v>#VALUE!</v>
      </c>
      <c r="Y15" s="1">
        <f>'Other - Mixed'!L14</f>
        <v>139</v>
      </c>
      <c r="Z15" s="1">
        <f>'All Minorities'!L14</f>
        <v>40</v>
      </c>
    </row>
    <row r="16" spans="2:26" s="1" customFormat="1" ht="15" customHeight="1">
      <c r="B16" s="142" t="s">
        <v>16</v>
      </c>
      <c r="C16" s="103">
        <f>'Data Entry'!C15</f>
        <v>5</v>
      </c>
      <c r="D16" s="116">
        <f>'Data Entry'!D15</f>
        <v>9</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9</v>
      </c>
      <c r="Q16" s="119" t="str">
        <f>'All Minorities'!G15</f>
        <v>**</v>
      </c>
      <c r="R16"/>
      <c r="T16" s="1">
        <f>'Black or African-American'!L15</f>
        <v>40</v>
      </c>
      <c r="U16" s="1">
        <f>Hispanic!L15</f>
        <v>40</v>
      </c>
      <c r="V16" s="1" t="e">
        <f>Asian!L15</f>
        <v>#VALUE!</v>
      </c>
      <c r="W16" s="1" t="e">
        <f>Hawaiian!L15</f>
        <v>#VALUE!</v>
      </c>
      <c r="X16" s="1" t="e">
        <f>'Am Indian'!L15</f>
        <v>#VALUE!</v>
      </c>
      <c r="Y16" s="1">
        <f>'Other - Mixed'!L15</f>
        <v>139</v>
      </c>
      <c r="Z16" s="1">
        <f>'All Minorities'!L15</f>
        <v>40</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120</v>
      </c>
      <c r="I19" s="134" t="s">
        <v>51</v>
      </c>
      <c r="J19" s="131"/>
      <c r="K19" s="131"/>
      <c r="L19" s="131"/>
      <c r="M19" s="131"/>
      <c r="N19" s="131"/>
      <c r="O19" s="132"/>
      <c r="P19" s="93"/>
      <c r="Q19" s="93"/>
    </row>
    <row r="20" spans="2:18" ht="16.5">
      <c r="B20" s="93"/>
      <c r="C20" s="153" t="s">
        <v>117</v>
      </c>
      <c r="D20" s="159"/>
      <c r="E20" s="160"/>
      <c r="F20" s="161"/>
      <c r="G20" s="162" t="s">
        <v>53</v>
      </c>
      <c r="H20" s="159"/>
      <c r="I20" s="153" t="s">
        <v>56</v>
      </c>
      <c r="J20" s="159"/>
      <c r="K20" s="159"/>
      <c r="L20" s="159"/>
      <c r="M20" s="159"/>
      <c r="N20" s="159"/>
      <c r="O20" s="154" t="s">
        <v>57</v>
      </c>
      <c r="Q20" s="93"/>
    </row>
    <row r="21" spans="2:18" ht="15" customHeight="1">
      <c r="B21" s="93"/>
      <c r="C21" s="155" t="s">
        <v>119</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Berrien County Juvenile Court</v>
      </c>
      <c r="E27" s="1" t="str">
        <f>'Data Entry'!D20</f>
        <v>Item 4.Diversion: Berrien County Juvenile Court</v>
      </c>
      <c r="I27" s="96"/>
      <c r="J27" s="96"/>
    </row>
    <row r="28" spans="2:18" ht="12.75" customHeight="1">
      <c r="B28" s="1" t="str">
        <f>'Data Entry'!A21</f>
        <v>Item 5.Detention: Berrien County Juvenile Court</v>
      </c>
      <c r="E28" s="1" t="str">
        <f>'Data Entry'!D21</f>
        <v>Item 6.Petitioned: Berrien County Juvenile Court</v>
      </c>
      <c r="I28" s="96"/>
      <c r="J28" s="96"/>
    </row>
    <row r="29" spans="2:18" ht="12.75" customHeight="1">
      <c r="B29" s="1" t="str">
        <f>'Data Entry'!A22</f>
        <v>Item 7.Delinquent: Berrien County Juvenile Court</v>
      </c>
      <c r="E29" s="1" t="str">
        <f>'Data Entry'!D22</f>
        <v>Item 8.Probation: Berrien County Juvenile Court</v>
      </c>
      <c r="I29" s="96"/>
      <c r="J29" s="96"/>
    </row>
    <row r="30" spans="2:18" ht="12.75" customHeight="1">
      <c r="B30" s="1" t="str">
        <f>'Data Entry'!A23</f>
        <v>Item 9.Confinement: Berrien County Juvenile Court</v>
      </c>
      <c r="E30" s="1" t="str">
        <f>'Data Entry'!D23</f>
        <v>Item 10.Transferred: Berrien County Juvenile Court</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Berrien</v>
      </c>
    </row>
    <row r="6" spans="1:12">
      <c r="A6" s="135" t="str">
        <f>CONCATENATE("Percentage of Minorities at Stages of the Juvenile Justice System, ", A5, " 2022")</f>
        <v>Percentage of Minorities at Stages of the Juvenile Justice System, County: Berrien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122</v>
      </c>
      <c r="I6" s="96" t="str">
        <f>'Data Entry'!C5</f>
        <v>White</v>
      </c>
      <c r="K6" s="135" t="s">
        <v>123</v>
      </c>
      <c r="L6" s="135" t="s">
        <v>121</v>
      </c>
    </row>
    <row r="7" spans="1:12">
      <c r="A7" s="128" t="str">
        <f>CONCATENATE("Waivers, total N=", 'Data Entry'!B15)</f>
        <v>Waivers, total N=14</v>
      </c>
      <c r="B7" s="150">
        <f>'Data Entry'!D15/'Data Entry'!B15</f>
        <v>0.6428571428571429</v>
      </c>
      <c r="C7" s="150">
        <f>'Data Entry'!E15/'Data Entry'!B15</f>
        <v>0</v>
      </c>
      <c r="D7" s="150">
        <f>'Data Entry'!F15/'Data Entry'!B15</f>
        <v>0</v>
      </c>
      <c r="E7" s="150">
        <f>'Data Entry'!G15/'Data Entry'!B15</f>
        <v>0</v>
      </c>
      <c r="F7" s="150">
        <f>'Data Entry'!H15/'Data Entry'!B15</f>
        <v>0</v>
      </c>
      <c r="G7" s="150">
        <f>'Data Entry'!I15/'Data Entry'!B15</f>
        <v>0</v>
      </c>
      <c r="H7" s="150">
        <f>SUM(D7:G7)/'Data Entry'!B15</f>
        <v>0</v>
      </c>
      <c r="I7" s="150">
        <f>'Data Entry'!C15/'Data Entry'!B15</f>
        <v>0.35714285714285715</v>
      </c>
      <c r="K7" s="96" t="str">
        <f t="shared" ref="K7:K14" si="0">A7</f>
        <v>Waivers, total N=14</v>
      </c>
      <c r="L7">
        <f>I14/(SUM(B14:G14))</f>
        <v>2.0609362389023405</v>
      </c>
    </row>
    <row r="8" spans="1:12" ht="25.5" customHeight="1">
      <c r="A8" s="151" t="str">
        <f>CONCATENATE("Confinement, total N=", 'Data Entry'!B14)</f>
        <v>Confinement, total N=26</v>
      </c>
      <c r="B8" s="150">
        <f>'Data Entry'!D14/'Data Entry'!B14</f>
        <v>0.76923076923076927</v>
      </c>
      <c r="C8" s="150">
        <f>'Data Entry'!E14/'Data Entry'!B14</f>
        <v>3.8461538461538464E-2</v>
      </c>
      <c r="D8" s="150">
        <f>'Data Entry'!F14/'Data Entry'!B14</f>
        <v>0</v>
      </c>
      <c r="E8" s="150">
        <f>'Data Entry'!G14/'Data Entry'!B14</f>
        <v>0</v>
      </c>
      <c r="F8" s="150">
        <f>'Data Entry'!H14/'Data Entry'!B14</f>
        <v>0</v>
      </c>
      <c r="G8" s="150">
        <f>'Data Entry'!I14/'Data Entry'!B14</f>
        <v>0</v>
      </c>
      <c r="H8" s="150">
        <f>SUM(D8:G8)/'Data Entry'!B14</f>
        <v>0</v>
      </c>
      <c r="I8" s="150">
        <f>'Data Entry'!C14/'Data Entry'!B14</f>
        <v>0.19230769230769232</v>
      </c>
      <c r="K8" s="96" t="str">
        <f>A8</f>
        <v>Confinement, total N=26</v>
      </c>
      <c r="L8">
        <f>I14/(SUM(B14:G14))</f>
        <v>2.0609362389023405</v>
      </c>
    </row>
    <row r="9" spans="1:12">
      <c r="A9" s="128" t="str">
        <f>CONCATENATE("Delinquent Findings, total N=", 'Data Entry'!B12)</f>
        <v>Delinquent Findings, total N=217</v>
      </c>
      <c r="B9" s="150">
        <f>'Data Entry'!D12/'Data Entry'!B12</f>
        <v>0.63594470046082952</v>
      </c>
      <c r="C9" s="150">
        <f>'Data Entry'!E12/'Data Entry'!B12</f>
        <v>2.3041474654377881E-2</v>
      </c>
      <c r="D9" s="150">
        <f>'Data Entry'!F12/'Data Entry'!B12</f>
        <v>0</v>
      </c>
      <c r="E9" s="150">
        <f>'Data Entry'!G12/'Data Entry'!B12</f>
        <v>0</v>
      </c>
      <c r="F9" s="150">
        <f>'Data Entry'!H12/'Data Entry'!B12</f>
        <v>0</v>
      </c>
      <c r="G9" s="150">
        <f>'Data Entry'!I12/'Data Entry'!B12</f>
        <v>3.6866359447004608E-2</v>
      </c>
      <c r="H9" s="150">
        <f>SUM(D9:G9)/'Data Entry'!B12</f>
        <v>1.6989105735946825E-4</v>
      </c>
      <c r="I9" s="150">
        <f>'Data Entry'!C12/'Data Entry'!B12</f>
        <v>0.30414746543778803</v>
      </c>
      <c r="K9" s="96" t="str">
        <f t="shared" si="0"/>
        <v>Delinquent Findings, total N=217</v>
      </c>
      <c r="L9">
        <f>I14/(SUM(B14:G14))</f>
        <v>2.0609362389023405</v>
      </c>
    </row>
    <row r="10" spans="1:12">
      <c r="A10" s="128" t="str">
        <f>CONCATENATE("Petitions, total N=", 'Data Entry'!B11)</f>
        <v>Petitions, total N=382</v>
      </c>
      <c r="B10" s="150">
        <f>'Data Entry'!D11/'Data Entry'!B11</f>
        <v>0.59424083769633507</v>
      </c>
      <c r="C10" s="150">
        <f>'Data Entry'!E11/'Data Entry'!B11</f>
        <v>2.0942408376963352E-2</v>
      </c>
      <c r="D10" s="150">
        <f>'Data Entry'!F11/'Data Entry'!B11</f>
        <v>0</v>
      </c>
      <c r="E10" s="150">
        <f>'Data Entry'!G11/'Data Entry'!B11</f>
        <v>0</v>
      </c>
      <c r="F10" s="150">
        <f>'Data Entry'!H11/'Data Entry'!B11</f>
        <v>0</v>
      </c>
      <c r="G10" s="150">
        <f>'Data Entry'!I11/'Data Entry'!B11</f>
        <v>3.6649214659685861E-2</v>
      </c>
      <c r="H10" s="150">
        <f>SUM(D10:G10)/'Data Entry'!B11</f>
        <v>9.5940352512266657E-5</v>
      </c>
      <c r="I10" s="150">
        <f>'Data Entry'!C11/'Data Entry'!B11</f>
        <v>0.34816753926701571</v>
      </c>
      <c r="K10" s="96" t="str">
        <f t="shared" si="0"/>
        <v>Petitions, total N=382</v>
      </c>
      <c r="L10">
        <f>I14/(SUM(B14:G14))</f>
        <v>2.0609362389023405</v>
      </c>
    </row>
    <row r="11" spans="1:12">
      <c r="A11" s="128" t="str">
        <f>CONCATENATE("Detentions, total N=", 'Data Entry'!B10)</f>
        <v>Detentions, total N=106</v>
      </c>
      <c r="B11" s="150">
        <f>'Data Entry'!D10/'Data Entry'!B10</f>
        <v>0.87735849056603776</v>
      </c>
      <c r="C11" s="150">
        <f>'Data Entry'!E10/'Data Entry'!B10</f>
        <v>9.433962264150943E-3</v>
      </c>
      <c r="D11" s="150">
        <f>'Data Entry'!F10/'Data Entry'!B10</f>
        <v>0</v>
      </c>
      <c r="E11" s="150">
        <f>'Data Entry'!G10/'Data Entry'!B10</f>
        <v>0</v>
      </c>
      <c r="F11" s="150">
        <f>'Data Entry'!H10/'Data Entry'!B10</f>
        <v>0</v>
      </c>
      <c r="G11" s="150">
        <f>'Data Entry'!I10/'Data Entry'!B10</f>
        <v>0</v>
      </c>
      <c r="H11" s="150">
        <f>SUM(D11:G11)/'Data Entry'!B10</f>
        <v>0</v>
      </c>
      <c r="I11" s="150">
        <f>'Data Entry'!C10/'Data Entry'!B10</f>
        <v>0.11320754716981132</v>
      </c>
      <c r="K11" s="96" t="str">
        <f t="shared" si="0"/>
        <v>Detentions, total N=106</v>
      </c>
      <c r="L11">
        <f>I14/(SUM(B14:G14))</f>
        <v>2.0609362389023405</v>
      </c>
    </row>
    <row r="12" spans="1:12">
      <c r="A12" s="128" t="str">
        <f>CONCATENATE("Referrals, total N=", 'Data Entry'!B8)</f>
        <v>Referrals, total N=641</v>
      </c>
      <c r="B12" s="150">
        <f>'Data Entry'!D8/'Data Entry'!B8</f>
        <v>0.49141965678627147</v>
      </c>
      <c r="C12" s="150">
        <f>'Data Entry'!E8/'Data Entry'!B8</f>
        <v>2.9641185647425898E-2</v>
      </c>
      <c r="D12" s="150">
        <f>'Data Entry'!F8/'Data Entry'!B8</f>
        <v>1.5600624024960999E-3</v>
      </c>
      <c r="E12" s="150">
        <f>'Data Entry'!G8/'Data Entry'!B8</f>
        <v>0</v>
      </c>
      <c r="F12" s="150">
        <f>'Data Entry'!H8/'Data Entry'!B8</f>
        <v>0</v>
      </c>
      <c r="G12" s="150">
        <f>'Data Entry'!I8/'Data Entry'!B8</f>
        <v>2.0280811232449299E-2</v>
      </c>
      <c r="H12" s="150">
        <f>SUM(D12:G12)/'Data Entry'!B8</f>
        <v>3.4073125795546645E-5</v>
      </c>
      <c r="I12" s="150">
        <f>'Data Entry'!C8/'Data Entry'!B8</f>
        <v>0.44773790951638065</v>
      </c>
      <c r="K12" s="96" t="str">
        <f t="shared" si="0"/>
        <v>Referrals, total N=641</v>
      </c>
      <c r="L12">
        <f>I14/(SUM(B14:G14))</f>
        <v>2.0609362389023405</v>
      </c>
    </row>
    <row r="13" spans="1:12">
      <c r="A13" s="128" t="str">
        <f>CONCATENATE("Arrests, total N=", 'Data Entry'!B7)</f>
        <v>Arrests, total N=247</v>
      </c>
      <c r="B13" s="150">
        <f>'Data Entry'!D7/'Data Entry'!B7</f>
        <v>0.68016194331983804</v>
      </c>
      <c r="C13" s="150">
        <f>'Data Entry'!E7/'Data Entry'!B7</f>
        <v>2.8340080971659919E-2</v>
      </c>
      <c r="D13" s="150">
        <f>'Data Entry'!F7/'Data Entry'!B7</f>
        <v>0</v>
      </c>
      <c r="E13" s="150">
        <f>'Data Entry'!G7/'Data Entry'!B7</f>
        <v>0</v>
      </c>
      <c r="F13" s="150">
        <f>'Data Entry'!H7/'Data Entry'!B7</f>
        <v>1.2145748987854251E-2</v>
      </c>
      <c r="G13" s="150">
        <f>'Data Entry'!I7/'Data Entry'!B7</f>
        <v>0</v>
      </c>
      <c r="H13" s="150">
        <f>SUM(D13:G13)/'Data Entry'!B7</f>
        <v>4.9173072825320852E-5</v>
      </c>
      <c r="I13" s="150">
        <f>'Data Entry'!C7/'Data Entry'!B7</f>
        <v>0.25101214574898784</v>
      </c>
      <c r="K13" s="96" t="str">
        <f t="shared" si="0"/>
        <v>Arrests, total N=247</v>
      </c>
      <c r="L13">
        <f>I14/(SUM(B14:G14))</f>
        <v>2.0609362389023405</v>
      </c>
    </row>
    <row r="14" spans="1:12">
      <c r="A14" s="128" t="str">
        <f>CONCATENATE("Population, total N=", 'Data Entry'!B6)</f>
        <v>Population, total N=15170</v>
      </c>
      <c r="B14" s="150">
        <f>'Data Entry'!D6/'Data Entry'!B6</f>
        <v>0.20448253131179961</v>
      </c>
      <c r="C14" s="150">
        <f>'Data Entry'!E6/'Data Entry'!B6</f>
        <v>9.4924192485168091E-2</v>
      </c>
      <c r="D14" s="150">
        <f>'Data Entry'!F6/'Data Entry'!B6</f>
        <v>1.9578114700065919E-2</v>
      </c>
      <c r="E14" s="150">
        <f>'Data Entry'!G6/'Data Entry'!B6</f>
        <v>0</v>
      </c>
      <c r="F14" s="150">
        <f>'Data Entry'!H6/'Data Entry'!B6</f>
        <v>7.7125906394199077E-3</v>
      </c>
      <c r="G14" s="150">
        <f>'Data Entry'!I6/'Data Entry'!B6</f>
        <v>0</v>
      </c>
      <c r="H14" s="150">
        <f>SUM(D14:G14)/'Data Entry'!B6</f>
        <v>1.7989917824314982E-6</v>
      </c>
      <c r="I14" s="150">
        <f>'Data Entry'!C6/'Data Entry'!B6</f>
        <v>0.6733025708635465</v>
      </c>
      <c r="K14" s="96" t="str">
        <f t="shared" si="0"/>
        <v>Population, total N=15170</v>
      </c>
      <c r="L14">
        <f>I14/(SUM(B14:G14))</f>
        <v>2.0609362389023405</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113</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Berrien</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111</v>
      </c>
      <c r="C6" s="122" t="s">
        <v>109</v>
      </c>
      <c r="D6" s="123" t="s">
        <v>109</v>
      </c>
      <c r="E6" s="124" t="s">
        <v>110</v>
      </c>
      <c r="F6" s="123" t="s">
        <v>109</v>
      </c>
      <c r="G6" s="124" t="s">
        <v>110</v>
      </c>
      <c r="H6" s="123" t="s">
        <v>109</v>
      </c>
      <c r="I6" s="124" t="s">
        <v>110</v>
      </c>
      <c r="J6" s="123" t="s">
        <v>109</v>
      </c>
      <c r="K6" s="125" t="s">
        <v>110</v>
      </c>
    </row>
    <row r="7" spans="2:30" s="8" customFormat="1" ht="18" customHeight="1">
      <c r="B7" s="141" t="str">
        <f>'Data Entry'!A6</f>
        <v>1. Population at Risk (age 10 through 17)</v>
      </c>
      <c r="C7" s="103">
        <f>'Data Entry'!C6</f>
        <v>10214</v>
      </c>
      <c r="D7" s="104">
        <f>'Data Entry'!D6</f>
        <v>3102</v>
      </c>
      <c r="E7" s="105"/>
      <c r="F7" s="106">
        <f>'Data Entry'!E6</f>
        <v>1440</v>
      </c>
      <c r="G7" s="105"/>
      <c r="H7" s="106">
        <f>'Data Entry'!F6</f>
        <v>297</v>
      </c>
      <c r="I7" s="105"/>
      <c r="J7" s="106">
        <f>'Data Entry'!J6</f>
        <v>4956</v>
      </c>
      <c r="K7" s="107"/>
    </row>
    <row r="8" spans="2:30" s="1" customFormat="1" ht="15" customHeight="1">
      <c r="B8" s="121" t="s">
        <v>8</v>
      </c>
      <c r="C8" s="103">
        <f>'Data Entry'!C7</f>
        <v>62</v>
      </c>
      <c r="D8" s="104">
        <f>'Data Entry'!D7</f>
        <v>168</v>
      </c>
      <c r="E8" s="105">
        <f>'Black or African-American'!$G7</f>
        <v>8.9221937979659334</v>
      </c>
      <c r="F8" s="106">
        <f>'Data Entry'!E7</f>
        <v>7</v>
      </c>
      <c r="G8" s="105">
        <f>Hispanic!G7</f>
        <v>0.80082885304659512</v>
      </c>
      <c r="H8" s="106">
        <f>'Data Entry'!F7</f>
        <v>0</v>
      </c>
      <c r="I8" s="105" t="str">
        <f>Asian!G7</f>
        <v>**</v>
      </c>
      <c r="J8" s="106">
        <f>'Data Entry'!J7</f>
        <v>178</v>
      </c>
      <c r="K8" s="107">
        <f>'All Minorities'!G7</f>
        <v>5.9168814600744604</v>
      </c>
      <c r="L8"/>
      <c r="N8" s="1">
        <f>'Black or African-American'!L7</f>
        <v>1</v>
      </c>
      <c r="O8" s="1">
        <f>Hispanic!L7</f>
        <v>2</v>
      </c>
      <c r="P8" s="1">
        <f>Asian!L7</f>
        <v>40</v>
      </c>
      <c r="Q8" s="1" t="e">
        <f>Hawaiian!L7</f>
        <v>#VALUE!</v>
      </c>
      <c r="R8" s="1">
        <f>'Am Indian'!L7</f>
        <v>119</v>
      </c>
      <c r="S8" s="1" t="e">
        <f>'Other - Mixed'!L7</f>
        <v>#VALUE!</v>
      </c>
      <c r="T8" s="1">
        <f>'All Minorities'!L7</f>
        <v>1</v>
      </c>
    </row>
    <row r="9" spans="2:30" s="1" customFormat="1" ht="15" customHeight="1">
      <c r="B9" s="121" t="s">
        <v>126</v>
      </c>
      <c r="C9" s="103">
        <f>'Data Entry'!C8</f>
        <v>287</v>
      </c>
      <c r="D9" s="108">
        <f>'Data Entry'!D8</f>
        <v>315</v>
      </c>
      <c r="E9" s="109">
        <f>'Black or African-American'!$G8</f>
        <v>0.40505226480836232</v>
      </c>
      <c r="F9" s="110">
        <f>'Data Entry'!E8</f>
        <v>19</v>
      </c>
      <c r="G9" s="109" t="str">
        <f>Hispanic!G8</f>
        <v>**</v>
      </c>
      <c r="H9" s="110">
        <f>'Data Entry'!F8</f>
        <v>1</v>
      </c>
      <c r="I9" s="109" t="str">
        <f>Asian!G8</f>
        <v>**</v>
      </c>
      <c r="J9" s="110">
        <f>'Data Entry'!J8</f>
        <v>348</v>
      </c>
      <c r="K9" s="111">
        <f>'All Minorities'!G8</f>
        <v>0.4223466311709666</v>
      </c>
      <c r="L9"/>
      <c r="N9" s="1">
        <f>'Black or African-American'!L8</f>
        <v>1</v>
      </c>
      <c r="O9" s="1">
        <f>Hispanic!L8</f>
        <v>40</v>
      </c>
      <c r="P9" s="1">
        <f>Asian!L8</f>
        <v>40</v>
      </c>
      <c r="Q9" s="1">
        <f>Hawaiian!L8</f>
        <v>139</v>
      </c>
      <c r="R9" s="1">
        <f>'Am Indian'!L8</f>
        <v>119</v>
      </c>
      <c r="S9" s="1">
        <f>'Other - Mixed'!L8</f>
        <v>119</v>
      </c>
      <c r="T9" s="1">
        <f>'All Minorities'!L8</f>
        <v>1</v>
      </c>
    </row>
    <row r="10" spans="2:30" s="1" customFormat="1" ht="15" customHeight="1">
      <c r="B10" s="121" t="s">
        <v>10</v>
      </c>
      <c r="C10" s="103">
        <f>'Data Entry'!C9</f>
        <v>152</v>
      </c>
      <c r="D10" s="112">
        <f>'Data Entry'!D9</f>
        <v>85</v>
      </c>
      <c r="E10" s="113">
        <f>'Black or African-American'!$G9</f>
        <v>0.50950292397660824</v>
      </c>
      <c r="F10" s="114">
        <f>'Data Entry'!E9</f>
        <v>10</v>
      </c>
      <c r="G10" s="113" t="str">
        <f>Hispanic!G9</f>
        <v>**</v>
      </c>
      <c r="H10" s="114">
        <f>'Data Entry'!F9</f>
        <v>1</v>
      </c>
      <c r="I10" s="113" t="str">
        <f>Asian!G9</f>
        <v>**</v>
      </c>
      <c r="J10" s="114">
        <f>'Data Entry'!J9</f>
        <v>99</v>
      </c>
      <c r="K10" s="115">
        <f>'All Minorities'!G9</f>
        <v>0.5371483666061706</v>
      </c>
      <c r="L10"/>
      <c r="N10" s="1">
        <f>'Black or African-American'!L9</f>
        <v>1</v>
      </c>
      <c r="O10" s="1">
        <f>Hispanic!L9</f>
        <v>40</v>
      </c>
      <c r="P10" s="1">
        <f>Asian!L9</f>
        <v>40</v>
      </c>
      <c r="Q10" s="1" t="e">
        <f>Hawaiian!L9</f>
        <v>#VALUE!</v>
      </c>
      <c r="R10" s="1" t="e">
        <f>'Am Indian'!L9</f>
        <v>#VALUE!</v>
      </c>
      <c r="S10" s="1">
        <f>'Other - Mixed'!L9</f>
        <v>119</v>
      </c>
      <c r="T10" s="1">
        <f>'All Minorities'!L9</f>
        <v>1</v>
      </c>
    </row>
    <row r="11" spans="2:30" s="1" customFormat="1" ht="15" customHeight="1">
      <c r="B11" s="121" t="s">
        <v>11</v>
      </c>
      <c r="C11" s="103">
        <f>'Data Entry'!C10</f>
        <v>12</v>
      </c>
      <c r="D11" s="108">
        <f>'Data Entry'!D10</f>
        <v>93</v>
      </c>
      <c r="E11" s="109">
        <f>'Black or African-American'!$G10</f>
        <v>7.0611111111111109</v>
      </c>
      <c r="F11" s="110">
        <f>'Data Entry'!E10</f>
        <v>1</v>
      </c>
      <c r="G11" s="109" t="str">
        <f>Hispanic!G10</f>
        <v>**</v>
      </c>
      <c r="H11" s="110">
        <f>'Data Entry'!F10</f>
        <v>0</v>
      </c>
      <c r="I11" s="109" t="str">
        <f>Asian!G10</f>
        <v>**</v>
      </c>
      <c r="J11" s="110">
        <f>'Data Entry'!J10</f>
        <v>94</v>
      </c>
      <c r="K11" s="111">
        <f>'All Minorities'!G10</f>
        <v>6.4602490421455938</v>
      </c>
      <c r="L11"/>
      <c r="N11" s="1">
        <f>'Black or African-American'!L10</f>
        <v>1</v>
      </c>
      <c r="O11" s="1">
        <f>Hispanic!L10</f>
        <v>40</v>
      </c>
      <c r="P11" s="1">
        <f>Asian!L10</f>
        <v>40</v>
      </c>
      <c r="Q11" s="1" t="e">
        <f>Hawaiian!L10</f>
        <v>#VALUE!</v>
      </c>
      <c r="R11" s="1" t="e">
        <f>'Am Indian'!L10</f>
        <v>#VALUE!</v>
      </c>
      <c r="S11" s="1">
        <f>'Other - Mixed'!L10</f>
        <v>139</v>
      </c>
      <c r="T11" s="1">
        <f>'All Minorities'!L10</f>
        <v>1</v>
      </c>
    </row>
    <row r="12" spans="2:30" s="1" customFormat="1" ht="15" customHeight="1">
      <c r="B12" s="121" t="s">
        <v>95</v>
      </c>
      <c r="C12" s="103">
        <f>'Data Entry'!C11</f>
        <v>133</v>
      </c>
      <c r="D12" s="112">
        <f>'Data Entry'!D11</f>
        <v>227</v>
      </c>
      <c r="E12" s="113">
        <f>'Black or African-American'!$G11</f>
        <v>1.5550543024227237</v>
      </c>
      <c r="F12" s="114">
        <f>'Data Entry'!E11</f>
        <v>8</v>
      </c>
      <c r="G12" s="113" t="str">
        <f>Hispanic!G11</f>
        <v>**</v>
      </c>
      <c r="H12" s="114">
        <f>'Data Entry'!F11</f>
        <v>0</v>
      </c>
      <c r="I12" s="113" t="str">
        <f>Asian!G11</f>
        <v>**</v>
      </c>
      <c r="J12" s="114">
        <f>'Data Entry'!J11</f>
        <v>249</v>
      </c>
      <c r="K12" s="115">
        <f>'All Minorities'!G11</f>
        <v>1.5440108892921962</v>
      </c>
      <c r="L12"/>
      <c r="N12" s="1">
        <f>'Black or African-American'!L11</f>
        <v>1</v>
      </c>
      <c r="O12" s="1">
        <f>Hispanic!L11</f>
        <v>40</v>
      </c>
      <c r="P12" s="1">
        <f>Asian!L11</f>
        <v>40</v>
      </c>
      <c r="Q12" s="1" t="e">
        <f>Hawaiian!L11</f>
        <v>#VALUE!</v>
      </c>
      <c r="R12" s="1" t="e">
        <f>'Am Indian'!L11</f>
        <v>#VALUE!</v>
      </c>
      <c r="S12" s="1">
        <f>'Other - Mixed'!L11</f>
        <v>119</v>
      </c>
      <c r="T12" s="1">
        <f>'All Minorities'!L11</f>
        <v>1</v>
      </c>
    </row>
    <row r="13" spans="2:30" s="1" customFormat="1" ht="15" customHeight="1">
      <c r="B13" s="121" t="s">
        <v>13</v>
      </c>
      <c r="C13" s="103">
        <f>'Data Entry'!C12</f>
        <v>66</v>
      </c>
      <c r="D13" s="108">
        <f>'Data Entry'!D12</f>
        <v>138</v>
      </c>
      <c r="E13" s="109">
        <f>'Black or African-American'!$G12</f>
        <v>1.2250700841009212</v>
      </c>
      <c r="F13" s="110">
        <f>'Data Entry'!E12</f>
        <v>5</v>
      </c>
      <c r="G13" s="109" t="str">
        <f>Hispanic!G12</f>
        <v>**</v>
      </c>
      <c r="H13" s="110">
        <f>'Data Entry'!F12</f>
        <v>0</v>
      </c>
      <c r="I13" s="109" t="str">
        <f>Asian!G12</f>
        <v>--</v>
      </c>
      <c r="J13" s="110">
        <f>'Data Entry'!J12</f>
        <v>151</v>
      </c>
      <c r="K13" s="111">
        <f>'All Minorities'!G12</f>
        <v>1.2220396738469026</v>
      </c>
      <c r="L13"/>
      <c r="N13" s="1">
        <f>'Black or African-American'!L12</f>
        <v>1</v>
      </c>
      <c r="O13" s="1">
        <f>Hispanic!L12</f>
        <v>40</v>
      </c>
      <c r="P13" s="1" t="e">
        <f>Asian!L12</f>
        <v>#VALUE!</v>
      </c>
      <c r="Q13" s="1" t="e">
        <f>Hawaiian!L12</f>
        <v>#VALUE!</v>
      </c>
      <c r="R13" s="1" t="e">
        <f>'Am Indian'!L12</f>
        <v>#VALUE!</v>
      </c>
      <c r="S13" s="1">
        <f>'Other - Mixed'!L12</f>
        <v>139</v>
      </c>
      <c r="T13" s="1">
        <f>'All Minorities'!L12</f>
        <v>1</v>
      </c>
      <c r="W13" s="8"/>
      <c r="X13" s="8"/>
      <c r="Y13" s="8"/>
      <c r="Z13" s="8"/>
      <c r="AA13" s="8"/>
      <c r="AB13" s="8"/>
      <c r="AC13" s="8"/>
      <c r="AD13" s="8"/>
    </row>
    <row r="14" spans="2:30" s="1" customFormat="1" ht="15" customHeight="1">
      <c r="B14" s="121" t="s">
        <v>14</v>
      </c>
      <c r="C14" s="103">
        <f>'Data Entry'!C13</f>
        <v>52</v>
      </c>
      <c r="D14" s="112">
        <f>'Data Entry'!D13</f>
        <v>98</v>
      </c>
      <c r="E14" s="113">
        <f>'Black or African-American'!$G13</f>
        <v>0.90133779264214053</v>
      </c>
      <c r="F14" s="114">
        <f>'Data Entry'!E13</f>
        <v>4</v>
      </c>
      <c r="G14" s="113" t="str">
        <f>Hispanic!G13</f>
        <v>**</v>
      </c>
      <c r="H14" s="114">
        <f>'Data Entry'!F13</f>
        <v>0</v>
      </c>
      <c r="I14" s="113" t="str">
        <f>Asian!G13</f>
        <v>--</v>
      </c>
      <c r="J14" s="114">
        <f>'Data Entry'!J13</f>
        <v>110</v>
      </c>
      <c r="K14" s="115">
        <f>'All Minorities'!G13</f>
        <v>0.92460519612837511</v>
      </c>
      <c r="L14"/>
      <c r="N14" s="1">
        <f>'Black or African-American'!L13</f>
        <v>2</v>
      </c>
      <c r="O14" s="1">
        <f>Hispanic!L13</f>
        <v>40</v>
      </c>
      <c r="P14" s="1" t="e">
        <f>Asian!L13</f>
        <v>#VALUE!</v>
      </c>
      <c r="Q14" s="1" t="e">
        <f>Hawaiian!L13</f>
        <v>#VALUE!</v>
      </c>
      <c r="R14" s="1" t="e">
        <f>'Am Indian'!L13</f>
        <v>#VALUE!</v>
      </c>
      <c r="S14" s="1">
        <f>'Other - Mixed'!L13</f>
        <v>139</v>
      </c>
      <c r="T14" s="1">
        <f>'All Minorities'!L13</f>
        <v>2</v>
      </c>
      <c r="W14" s="8"/>
      <c r="X14" s="8"/>
      <c r="Y14" s="8"/>
      <c r="Z14" s="8"/>
      <c r="AA14" s="8"/>
      <c r="AB14" s="8"/>
      <c r="AC14" s="8"/>
      <c r="AD14" s="8"/>
    </row>
    <row r="15" spans="2:30" s="1" customFormat="1" ht="33">
      <c r="B15" s="126" t="s">
        <v>115</v>
      </c>
      <c r="C15" s="103">
        <f>'Data Entry'!C14</f>
        <v>5</v>
      </c>
      <c r="D15" s="108">
        <f>'Data Entry'!D14</f>
        <v>20</v>
      </c>
      <c r="E15" s="109" t="str">
        <f>'Black or African-American'!$G14</f>
        <v>**</v>
      </c>
      <c r="F15" s="110">
        <f>'Data Entry'!E14</f>
        <v>1</v>
      </c>
      <c r="G15" s="109" t="str">
        <f>Hispanic!G14</f>
        <v>**</v>
      </c>
      <c r="H15" s="110">
        <f>'Data Entry'!F14</f>
        <v>0</v>
      </c>
      <c r="I15" s="109" t="str">
        <f>Asian!G14</f>
        <v>--</v>
      </c>
      <c r="J15" s="110">
        <f>'Data Entry'!J14</f>
        <v>21</v>
      </c>
      <c r="K15" s="111" t="str">
        <f>'All Minorities'!G14</f>
        <v>**</v>
      </c>
      <c r="L15"/>
      <c r="N15" s="1">
        <f>'Black or African-American'!L14</f>
        <v>40</v>
      </c>
      <c r="O15" s="1">
        <f>Hispanic!L14</f>
        <v>40</v>
      </c>
      <c r="P15" s="1" t="e">
        <f>Asian!L14</f>
        <v>#VALUE!</v>
      </c>
      <c r="Q15" s="1" t="e">
        <f>Hawaiian!L14</f>
        <v>#VALUE!</v>
      </c>
      <c r="R15" s="1" t="e">
        <f>'Am Indian'!L14</f>
        <v>#VALUE!</v>
      </c>
      <c r="S15" s="1">
        <f>'Other - Mixed'!L14</f>
        <v>139</v>
      </c>
      <c r="T15" s="1">
        <f>'All Minorities'!L14</f>
        <v>40</v>
      </c>
      <c r="W15" s="8"/>
      <c r="X15" s="8"/>
      <c r="Y15" s="8"/>
      <c r="Z15" s="8"/>
      <c r="AA15" s="8"/>
      <c r="AB15" s="8"/>
      <c r="AC15" s="8"/>
      <c r="AD15" s="8"/>
    </row>
    <row r="16" spans="2:30" s="1" customFormat="1" ht="15" customHeight="1">
      <c r="B16" s="121" t="s">
        <v>16</v>
      </c>
      <c r="C16" s="103">
        <f>'Data Entry'!C15</f>
        <v>5</v>
      </c>
      <c r="D16" s="116">
        <f>'Data Entry'!D15</f>
        <v>9</v>
      </c>
      <c r="E16" s="117" t="str">
        <f>'Black or African-American'!$G15</f>
        <v>**</v>
      </c>
      <c r="F16" s="118">
        <f>'Data Entry'!E15</f>
        <v>0</v>
      </c>
      <c r="G16" s="117" t="str">
        <f>Hispanic!G15</f>
        <v>**</v>
      </c>
      <c r="H16" s="118">
        <f>'Data Entry'!F15</f>
        <v>0</v>
      </c>
      <c r="I16" s="117" t="str">
        <f>Asian!G15</f>
        <v>--</v>
      </c>
      <c r="J16" s="118">
        <f>'Data Entry'!J15</f>
        <v>9</v>
      </c>
      <c r="K16" s="119" t="str">
        <f>'All Minorities'!G15</f>
        <v>**</v>
      </c>
      <c r="L16"/>
      <c r="N16" s="1">
        <f>'Black or African-American'!L15</f>
        <v>40</v>
      </c>
      <c r="O16" s="1">
        <f>Hispanic!L15</f>
        <v>40</v>
      </c>
      <c r="P16" s="1" t="e">
        <f>Asian!L15</f>
        <v>#VALUE!</v>
      </c>
      <c r="Q16" s="1" t="e">
        <f>Hawaiian!L15</f>
        <v>#VALUE!</v>
      </c>
      <c r="R16" s="1" t="e">
        <f>'Am Indian'!L15</f>
        <v>#VALUE!</v>
      </c>
      <c r="S16" s="1">
        <f>'Other - Mixed'!L15</f>
        <v>139</v>
      </c>
      <c r="T16" s="1">
        <f>'All Minorities'!L15</f>
        <v>40</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112</v>
      </c>
      <c r="C19" s="201"/>
      <c r="D19" s="201"/>
      <c r="E19" s="201"/>
      <c r="F19" s="201"/>
      <c r="G19" s="201"/>
      <c r="H19" s="201"/>
      <c r="I19" s="202"/>
      <c r="J19" s="203"/>
      <c r="K19" s="204"/>
    </row>
    <row r="20" spans="2:30" ht="15.75">
      <c r="B20" s="153" t="s">
        <v>117</v>
      </c>
      <c r="C20" s="208" t="s">
        <v>53</v>
      </c>
      <c r="D20" s="209"/>
      <c r="E20" s="192" t="s">
        <v>56</v>
      </c>
      <c r="F20" s="193"/>
      <c r="G20" s="193"/>
      <c r="H20" s="193"/>
      <c r="I20" s="193"/>
      <c r="J20" s="193"/>
      <c r="K20" s="154" t="s">
        <v>57</v>
      </c>
    </row>
    <row r="21" spans="2:30" ht="15" customHeight="1">
      <c r="B21" s="155" t="s">
        <v>118</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Berrien County Juvenile Court</v>
      </c>
      <c r="E27" s="1" t="str">
        <f>'Data Entry'!D20</f>
        <v>Item 4.Diversion: Berrien County Juvenile Court</v>
      </c>
      <c r="I27" s="96"/>
    </row>
    <row r="28" spans="2:30" ht="12.75" customHeight="1">
      <c r="B28" s="1" t="str">
        <f>'Data Entry'!A21</f>
        <v>Item 5.Detention: Berrien County Juvenile Court</v>
      </c>
      <c r="E28" s="1" t="str">
        <f>'Data Entry'!D21</f>
        <v>Item 6.Petitioned: Berrien County Juvenile Court</v>
      </c>
      <c r="I28" s="96"/>
    </row>
    <row r="29" spans="2:30" ht="12.75" customHeight="1">
      <c r="B29" s="1" t="str">
        <f>'Data Entry'!A22</f>
        <v>Item 7.Delinquent: Berrien County Juvenile Court</v>
      </c>
      <c r="E29" s="1" t="str">
        <f>'Data Entry'!D22</f>
        <v>Item 8.Probation: Berrien County Juvenile Court</v>
      </c>
      <c r="I29" s="96"/>
    </row>
    <row r="30" spans="2:30" ht="12.75" customHeight="1">
      <c r="B30" s="1" t="str">
        <f>'Data Entry'!A23</f>
        <v>Item 9.Confinement: Berrien County Juvenile Court</v>
      </c>
      <c r="E30" s="1" t="str">
        <f>'Data Entry'!D23</f>
        <v>Item 10.Transferred: Berrien County Juvenile Court</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Berrien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10214</v>
      </c>
      <c r="D6" s="34"/>
      <c r="E6" s="33">
        <f>'Data Entry'!D6</f>
        <v>3102</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62</v>
      </c>
      <c r="D7" s="34">
        <f>IF((AND(C66&gt;0,C7&gt;0)),(C7/C66),0)</f>
        <v>6.0700998629332288</v>
      </c>
      <c r="E7" s="33">
        <f>'Data Entry'!D7</f>
        <v>168</v>
      </c>
      <c r="F7" s="34">
        <f>IF((AND($E$7&gt;0,$D$66&gt;0)),($E$7/$D$66),0)</f>
        <v>54.158607350096716</v>
      </c>
      <c r="G7" s="39">
        <f>IF(L$6=100,"*",IF(M7=FALSE,"--",IF(K7=20,"**",($F7/$D7))))</f>
        <v>8.9221937979659334</v>
      </c>
      <c r="H7" s="40"/>
      <c r="I7" s="41"/>
      <c r="J7" s="40">
        <f>IF((ABS($U7)&gt;Defaults!D$7),1,2)</f>
        <v>1</v>
      </c>
      <c r="K7" s="39">
        <f>IF((AND(N7&gt;Defaults!B$12,(N7+O7)&gt;Defaults!B$13, P7 &gt; Defaults!B$12, (P7+Q7) &gt; Defaults!B$13)),1,20)</f>
        <v>1</v>
      </c>
      <c r="L7" s="1">
        <f>(J7*K7+L$6)-1</f>
        <v>1</v>
      </c>
      <c r="M7" s="1" t="b">
        <f t="shared" ref="M7:M15" si="0">(ISNUMBER(J7))</f>
        <v>1</v>
      </c>
      <c r="N7" s="42">
        <f t="shared" ref="N7:N15" si="1">E7</f>
        <v>168</v>
      </c>
      <c r="O7" s="42">
        <f>E6-E7</f>
        <v>2934</v>
      </c>
      <c r="P7" s="42">
        <f t="shared" ref="P7:P15" si="2">C7</f>
        <v>62</v>
      </c>
      <c r="Q7" s="42">
        <f>C6-C7</f>
        <v>10152</v>
      </c>
      <c r="R7" s="42">
        <f t="shared" ref="R7:R15" si="3">SUM(N7:Q7)</f>
        <v>13316</v>
      </c>
      <c r="S7" s="30">
        <f t="shared" ref="S7:S15" si="4">R7*((((N7*Q7)-(O7*P7))^2))</f>
        <v>3.0912325432225344E+16</v>
      </c>
      <c r="T7" s="30">
        <f t="shared" ref="T7:T15" si="5">(N7+O7)*(P7+Q7)*(N7+P7)*(O7+Q7)</f>
        <v>95361351837840</v>
      </c>
      <c r="U7" s="31">
        <f t="shared" ref="U7:U15" si="6">IF((S7&gt;0),S7/T7,"- -")</f>
        <v>324.15989115581237</v>
      </c>
    </row>
    <row r="8" spans="2:21" ht="18" customHeight="1">
      <c r="B8" s="32" t="str">
        <f>'Data Entry'!A8</f>
        <v>3. Refer to Juvenile Court</v>
      </c>
      <c r="C8" s="33">
        <f>'Data Entry'!C8</f>
        <v>287</v>
      </c>
      <c r="D8" s="34">
        <f>IF((AND(C67&gt;0,C8&gt;0)),(C8/C67),0)</f>
        <v>462.90322580645164</v>
      </c>
      <c r="E8" s="33">
        <f>'Data Entry'!D8</f>
        <v>315</v>
      </c>
      <c r="F8" s="34">
        <f>IF((AND($E$8&gt;0,$D$67&gt;0)),($E8/$D67),0)</f>
        <v>187.5</v>
      </c>
      <c r="G8" s="39">
        <f t="shared" ref="G8:G15" si="7">IF(L$6=100,"*",IF(M8=FALSE,"--",IF(K8=20,"**",($F8/$D8))))</f>
        <v>0.40505226480836232</v>
      </c>
      <c r="H8" s="40"/>
      <c r="I8" s="41"/>
      <c r="J8" s="40">
        <f>IF((ABS($U8)&gt;Defaults!D$7),1,2)</f>
        <v>1</v>
      </c>
      <c r="K8" s="39">
        <f>IF((AND(N8&gt;Defaults!B$12,(N8+O8)&gt;Defaults!B$13, P8 &gt; Defaults!B$12, (P8+Q8) &gt; Defaults!B$13)),1,20)</f>
        <v>1</v>
      </c>
      <c r="L8" s="1">
        <f t="shared" ref="L8:L15" si="8">(J8*K8+L$6)-1</f>
        <v>1</v>
      </c>
      <c r="M8" s="1" t="b">
        <f t="shared" si="0"/>
        <v>1</v>
      </c>
      <c r="N8" s="42">
        <f t="shared" si="1"/>
        <v>315</v>
      </c>
      <c r="O8" s="42">
        <f>((D67*L67)-E8)+0.05</f>
        <v>-146.94999999999999</v>
      </c>
      <c r="P8" s="42">
        <f t="shared" si="2"/>
        <v>287</v>
      </c>
      <c r="Q8" s="42">
        <f>(C$67*L67)-C8</f>
        <v>-225</v>
      </c>
      <c r="R8" s="42">
        <f t="shared" si="3"/>
        <v>230.05</v>
      </c>
      <c r="S8" s="30">
        <f t="shared" si="4"/>
        <v>189494506232.68121</v>
      </c>
      <c r="T8" s="30">
        <f t="shared" si="5"/>
        <v>-2332981315.4899998</v>
      </c>
      <c r="U8" s="31">
        <f t="shared" si="6"/>
        <v>-81.22418511220755</v>
      </c>
    </row>
    <row r="9" spans="2:21" ht="18" customHeight="1">
      <c r="B9" s="32" t="str">
        <f>'Data Entry'!A9</f>
        <v xml:space="preserve">4. Cases Diverted </v>
      </c>
      <c r="C9" s="33">
        <f>'Data Entry'!C9</f>
        <v>152</v>
      </c>
      <c r="D9" s="34">
        <f>IF((AND(C68&gt;0,C9&gt;0)),((C9/C68)),0)</f>
        <v>52.961672473867594</v>
      </c>
      <c r="E9" s="33">
        <f>'Data Entry'!D9</f>
        <v>85</v>
      </c>
      <c r="F9" s="34">
        <f>IF((AND($E$9&gt;0,$D$68&gt;0)),(($E$9/$D$68)),0)</f>
        <v>26.984126984126984</v>
      </c>
      <c r="G9" s="39">
        <f t="shared" si="7"/>
        <v>0.50950292397660824</v>
      </c>
      <c r="H9" s="40"/>
      <c r="I9" s="41"/>
      <c r="J9" s="40">
        <f>IF((ABS($U9)&gt;Defaults!D$7),1,2)</f>
        <v>1</v>
      </c>
      <c r="K9" s="39">
        <f>IF((AND(N9&gt;Defaults!B$12,(N9+O9)&gt;Defaults!B$13, P9 &gt; Defaults!B$12, (P9+Q9) &gt; Defaults!B$13)),1,20)</f>
        <v>1</v>
      </c>
      <c r="L9" s="1">
        <f t="shared" si="8"/>
        <v>1</v>
      </c>
      <c r="M9" s="1" t="b">
        <f t="shared" si="0"/>
        <v>1</v>
      </c>
      <c r="N9" s="42">
        <f t="shared" si="1"/>
        <v>85</v>
      </c>
      <c r="O9" s="42">
        <f>(D$68*L68)-E9</f>
        <v>230</v>
      </c>
      <c r="P9" s="42">
        <f t="shared" si="2"/>
        <v>152</v>
      </c>
      <c r="Q9" s="42">
        <f>(C$68*L68)-C9</f>
        <v>135</v>
      </c>
      <c r="R9" s="42">
        <f t="shared" si="3"/>
        <v>602</v>
      </c>
      <c r="S9" s="30">
        <f t="shared" si="4"/>
        <v>332030225450</v>
      </c>
      <c r="T9" s="30">
        <f t="shared" si="5"/>
        <v>7820484525</v>
      </c>
      <c r="U9" s="31">
        <f t="shared" si="6"/>
        <v>42.456477522407731</v>
      </c>
    </row>
    <row r="10" spans="2:21" ht="18" customHeight="1">
      <c r="B10" s="32" t="str">
        <f>'Data Entry'!A10</f>
        <v>5. Cases Involving Secure Detention</v>
      </c>
      <c r="C10" s="33">
        <f>'Data Entry'!C10</f>
        <v>12</v>
      </c>
      <c r="D10" s="34">
        <f>IF(((AND(C68&gt;0,C10&gt;0))),(C10/(C68)),0)</f>
        <v>4.1811846689895473</v>
      </c>
      <c r="E10" s="33">
        <f>'Data Entry'!D10</f>
        <v>93</v>
      </c>
      <c r="F10" s="34">
        <f>IF(((AND($E$10&gt;0,$D$68&gt;0))),($E$10/($D$68)),0)</f>
        <v>29.523809523809526</v>
      </c>
      <c r="G10" s="39">
        <f t="shared" si="7"/>
        <v>7.0611111111111109</v>
      </c>
      <c r="H10" s="40"/>
      <c r="I10" s="41"/>
      <c r="J10" s="40">
        <f>IF((ABS($U10)&gt;Defaults!D$7),1,2)</f>
        <v>1</v>
      </c>
      <c r="K10" s="39">
        <f>IF((AND(N10&gt;Defaults!B$12,(N10+O10)&gt;Defaults!B$13, P10 &gt; Defaults!B$12, (P10+Q10) &gt; Defaults!B$13)),1,20)</f>
        <v>1</v>
      </c>
      <c r="L10" s="1">
        <f t="shared" si="8"/>
        <v>1</v>
      </c>
      <c r="M10" s="1" t="b">
        <f t="shared" si="0"/>
        <v>1</v>
      </c>
      <c r="N10" s="42">
        <f t="shared" si="1"/>
        <v>93</v>
      </c>
      <c r="O10" s="42">
        <f>(D$68*L68)-E10</f>
        <v>222</v>
      </c>
      <c r="P10" s="42">
        <f t="shared" si="2"/>
        <v>12</v>
      </c>
      <c r="Q10" s="42">
        <f>(C$68*L68)-C10</f>
        <v>275</v>
      </c>
      <c r="R10" s="42">
        <f t="shared" si="3"/>
        <v>602</v>
      </c>
      <c r="S10" s="30">
        <f t="shared" si="4"/>
        <v>315998180442</v>
      </c>
      <c r="T10" s="30">
        <f t="shared" si="5"/>
        <v>4717784925</v>
      </c>
      <c r="U10" s="31">
        <f t="shared" si="6"/>
        <v>66.980200552910958</v>
      </c>
    </row>
    <row r="11" spans="2:21" ht="18" customHeight="1">
      <c r="B11" s="32" t="str">
        <f>'Data Entry'!A11</f>
        <v>6. Cases Petitioned (Charge Filed)</v>
      </c>
      <c r="C11" s="33">
        <f>'Data Entry'!C11</f>
        <v>133</v>
      </c>
      <c r="D11" s="34">
        <f>IF(((AND(C68&gt;0,C11&gt;0))),(C11/(C68)),0)</f>
        <v>46.341463414634141</v>
      </c>
      <c r="E11" s="33">
        <f>'Data Entry'!D11</f>
        <v>227</v>
      </c>
      <c r="F11" s="34">
        <f>IF(((AND($E$11&gt;0,$D$68&gt;0))),($E$11/($D$68)),0)</f>
        <v>72.063492063492063</v>
      </c>
      <c r="G11" s="39">
        <f t="shared" si="7"/>
        <v>1.5550543024227237</v>
      </c>
      <c r="H11" s="40"/>
      <c r="I11" s="41"/>
      <c r="J11" s="40">
        <f>IF((ABS($U11)&gt;Defaults!D$7),1,2)</f>
        <v>1</v>
      </c>
      <c r="K11" s="39">
        <f>IF((AND(N11&gt;Defaults!B$12,(N11+O11)&gt;Defaults!B$13, P11 &gt; Defaults!B$12, (P11+Q11) &gt; Defaults!B$13)),1,20)</f>
        <v>1</v>
      </c>
      <c r="L11" s="1">
        <f t="shared" si="8"/>
        <v>1</v>
      </c>
      <c r="M11" s="1" t="b">
        <f t="shared" si="0"/>
        <v>1</v>
      </c>
      <c r="N11" s="42">
        <f t="shared" si="1"/>
        <v>227</v>
      </c>
      <c r="O11" s="42">
        <f>(D$68*L68)-E11</f>
        <v>88</v>
      </c>
      <c r="P11" s="42">
        <f t="shared" si="2"/>
        <v>133</v>
      </c>
      <c r="Q11" s="42">
        <f>(C$68*L68)-C11</f>
        <v>154</v>
      </c>
      <c r="R11" s="42">
        <f t="shared" si="3"/>
        <v>602</v>
      </c>
      <c r="S11" s="30">
        <f t="shared" si="4"/>
        <v>325530606632</v>
      </c>
      <c r="T11" s="30">
        <f t="shared" si="5"/>
        <v>7876083600</v>
      </c>
      <c r="U11" s="31">
        <f t="shared" si="6"/>
        <v>41.331532670882261</v>
      </c>
    </row>
    <row r="12" spans="2:21" ht="18" customHeight="1">
      <c r="B12" s="32" t="str">
        <f>'Data Entry'!A12</f>
        <v>7. Cases Resulting in Delinquent Findings</v>
      </c>
      <c r="C12" s="33">
        <f>'Data Entry'!C12</f>
        <v>66</v>
      </c>
      <c r="D12" s="34">
        <f>IF(((AND(C69&gt;0,C12&gt;0))),(C12/(C69)),0)</f>
        <v>49.624060150375939</v>
      </c>
      <c r="E12" s="33">
        <f>'Data Entry'!D12</f>
        <v>138</v>
      </c>
      <c r="F12" s="34">
        <f>IF(((AND($D$69&gt;0,$E$12&gt;0))),(E12/(D69)),0)</f>
        <v>60.792951541850222</v>
      </c>
      <c r="G12" s="39">
        <f t="shared" si="7"/>
        <v>1.2250700841009212</v>
      </c>
      <c r="H12" s="40"/>
      <c r="I12" s="41"/>
      <c r="J12" s="40">
        <f>IF((ABS($U12)&gt;Defaults!D$7),1,2)</f>
        <v>1</v>
      </c>
      <c r="K12" s="39">
        <f>IF((AND(N12&gt;Defaults!B$12,(N12+O12)&gt;Defaults!B$13, P12 &gt; Defaults!B$12, (P12+Q12) &gt; Defaults!B$13)),1,20)</f>
        <v>1</v>
      </c>
      <c r="L12" s="1">
        <f t="shared" si="8"/>
        <v>1</v>
      </c>
      <c r="M12" s="1" t="b">
        <f t="shared" si="0"/>
        <v>1</v>
      </c>
      <c r="N12" s="42">
        <f t="shared" si="1"/>
        <v>138</v>
      </c>
      <c r="O12" s="42">
        <f>(D69*L69)-E12</f>
        <v>89</v>
      </c>
      <c r="P12" s="42">
        <f t="shared" si="2"/>
        <v>66</v>
      </c>
      <c r="Q12" s="42">
        <f>(C69*L69)-C12</f>
        <v>67</v>
      </c>
      <c r="R12" s="42">
        <f t="shared" si="3"/>
        <v>360</v>
      </c>
      <c r="S12" s="30">
        <f t="shared" si="4"/>
        <v>4093338240</v>
      </c>
      <c r="T12" s="30">
        <f t="shared" si="5"/>
        <v>960798384</v>
      </c>
      <c r="U12" s="31">
        <f t="shared" si="6"/>
        <v>4.2603508791913205</v>
      </c>
    </row>
    <row r="13" spans="2:21" ht="18" customHeight="1">
      <c r="B13" s="32" t="str">
        <f>'Data Entry'!A13</f>
        <v>8. Cases Resulting in Probation Placement</v>
      </c>
      <c r="C13" s="33">
        <f>'Data Entry'!C13</f>
        <v>52</v>
      </c>
      <c r="D13" s="34">
        <f>IF(((AND(C70&gt;0,C13&gt;0))),(C13/(C70)),0)</f>
        <v>78.787878787878782</v>
      </c>
      <c r="E13" s="33">
        <f>'Data Entry'!D13</f>
        <v>98</v>
      </c>
      <c r="F13" s="34">
        <f>IF(((AND($D$70&gt;0,$E$13&gt;0))),($E$13/($D$70)),0)</f>
        <v>71.014492753623188</v>
      </c>
      <c r="G13" s="39">
        <f t="shared" si="7"/>
        <v>0.90133779264214053</v>
      </c>
      <c r="H13" s="40"/>
      <c r="I13" s="41"/>
      <c r="J13" s="40">
        <f>IF((ABS($U13)&gt;Defaults!D$7),1,2)</f>
        <v>2</v>
      </c>
      <c r="K13" s="39">
        <f>IF((AND(N13&gt;Defaults!B$12,(N13+O13)&gt;Defaults!B$13, P13 &gt; Defaults!B$12, (P13+Q13) &gt; Defaults!B$13)),1,20)</f>
        <v>1</v>
      </c>
      <c r="L13" s="1">
        <f t="shared" si="8"/>
        <v>2</v>
      </c>
      <c r="M13" s="1" t="b">
        <f t="shared" si="0"/>
        <v>1</v>
      </c>
      <c r="N13" s="42">
        <f t="shared" si="1"/>
        <v>98</v>
      </c>
      <c r="O13" s="42">
        <f>(D70*L70)-E13</f>
        <v>40</v>
      </c>
      <c r="P13" s="42">
        <f t="shared" si="2"/>
        <v>52</v>
      </c>
      <c r="Q13" s="42">
        <f>(C70*L70)-C13</f>
        <v>14</v>
      </c>
      <c r="R13" s="42">
        <f t="shared" si="3"/>
        <v>204</v>
      </c>
      <c r="S13" s="30">
        <f t="shared" si="4"/>
        <v>102257856</v>
      </c>
      <c r="T13" s="30">
        <f t="shared" si="5"/>
        <v>73774800</v>
      </c>
      <c r="U13" s="31">
        <f t="shared" si="6"/>
        <v>1.3860811008637095</v>
      </c>
    </row>
    <row r="14" spans="2:21" ht="30.75" customHeight="1">
      <c r="B14" s="32" t="str">
        <f>'Data Entry'!A14</f>
        <v xml:space="preserve">9. Cases Resulting in Confinement in Secure Juvenile Correctional Facilities </v>
      </c>
      <c r="C14" s="33">
        <f>'Data Entry'!C14</f>
        <v>5</v>
      </c>
      <c r="D14" s="34">
        <f>IF(((AND(C70&gt;0,C14&gt;0))), ((C14/(C70))),0)</f>
        <v>7.5757575757575752</v>
      </c>
      <c r="E14" s="33">
        <f>'Data Entry'!D14</f>
        <v>20</v>
      </c>
      <c r="F14" s="34">
        <f>IF(((AND($D$70&gt;0,$E$14&gt;0))), (($E$14/($D$70))),0)</f>
        <v>14.492753623188406</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20</v>
      </c>
      <c r="O14" s="42">
        <f>(D70*L70)-E14</f>
        <v>118</v>
      </c>
      <c r="P14" s="42">
        <f t="shared" si="2"/>
        <v>5</v>
      </c>
      <c r="Q14" s="42">
        <f>(C70*L70)-C14</f>
        <v>61</v>
      </c>
      <c r="R14" s="42">
        <f t="shared" si="3"/>
        <v>204</v>
      </c>
      <c r="S14" s="30">
        <f t="shared" si="4"/>
        <v>80967600</v>
      </c>
      <c r="T14" s="30">
        <f t="shared" si="5"/>
        <v>40758300</v>
      </c>
      <c r="U14" s="31">
        <f t="shared" si="6"/>
        <v>1.986530350873319</v>
      </c>
    </row>
    <row r="15" spans="2:21" ht="15.75" customHeight="1">
      <c r="B15" s="32" t="str">
        <f>'Data Entry'!A15</f>
        <v xml:space="preserve">10. Cases Transferred to Adult Court </v>
      </c>
      <c r="C15" s="33">
        <f>'Data Entry'!C15</f>
        <v>5</v>
      </c>
      <c r="D15" s="34">
        <f>IF(((AND(C69&gt;0,C15&gt;0))),((C15/(C69))),0)</f>
        <v>3.7593984962406015</v>
      </c>
      <c r="E15" s="33">
        <f>'Data Entry'!D15</f>
        <v>9</v>
      </c>
      <c r="F15" s="34">
        <f>IF(((AND($D$69&gt;0,$E$15&gt;0))),(($E$15/($D$69))),0)</f>
        <v>3.9647577092511015</v>
      </c>
      <c r="G15" s="39" t="str">
        <f t="shared" si="7"/>
        <v>**</v>
      </c>
      <c r="H15" s="40"/>
      <c r="I15" s="41"/>
      <c r="J15" s="40">
        <f>IF((ABS($U15)&gt;Defaults!D$7),1,2)</f>
        <v>2</v>
      </c>
      <c r="K15" s="39">
        <f>IF((AND(N15&gt;Defaults!B$12,(N15+O15)&gt;Defaults!B$13, P15 &gt; Defaults!B$12, (P15+Q15) &gt; Defaults!B$13)),1,20)</f>
        <v>20</v>
      </c>
      <c r="L15" s="1">
        <f t="shared" si="8"/>
        <v>40</v>
      </c>
      <c r="M15" s="1" t="b">
        <f t="shared" si="0"/>
        <v>1</v>
      </c>
      <c r="N15" s="42">
        <f t="shared" si="1"/>
        <v>9</v>
      </c>
      <c r="O15" s="42">
        <f>(D69*L69)-E15</f>
        <v>218</v>
      </c>
      <c r="P15" s="42">
        <f t="shared" si="2"/>
        <v>5</v>
      </c>
      <c r="Q15" s="42">
        <f>(C69*L69)-C15</f>
        <v>128</v>
      </c>
      <c r="R15" s="42">
        <f t="shared" si="3"/>
        <v>360</v>
      </c>
      <c r="S15" s="30">
        <f t="shared" si="4"/>
        <v>1383840</v>
      </c>
      <c r="T15" s="30">
        <f t="shared" si="5"/>
        <v>146245204</v>
      </c>
      <c r="U15" s="31">
        <f t="shared" si="6"/>
        <v>9.4624641502773655E-3</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10.214</v>
      </c>
      <c r="D42" s="56">
        <f>E6/1000</f>
        <v>3.1019999999999999</v>
      </c>
      <c r="E42" s="56">
        <f>MAX(C42:D42)</f>
        <v>10.214</v>
      </c>
      <c r="G42" s="1" t="str">
        <f>B42</f>
        <v>per 1000 youth</v>
      </c>
      <c r="L42" s="57">
        <v>1000</v>
      </c>
      <c r="M42" s="57"/>
      <c r="R42" s="49"/>
    </row>
    <row r="43" spans="2:18" ht="15" hidden="1" customHeight="1">
      <c r="B43" s="49" t="s">
        <v>87</v>
      </c>
      <c r="C43" s="56">
        <f>C7/100</f>
        <v>0.62</v>
      </c>
      <c r="D43" s="56">
        <f>E7/100</f>
        <v>1.68</v>
      </c>
      <c r="E43" s="56">
        <f>MAX(C43:D43,0)</f>
        <v>1.68</v>
      </c>
      <c r="G43" s="1" t="str">
        <f>B43</f>
        <v>per 100 arrests</v>
      </c>
      <c r="L43" s="57">
        <v>100</v>
      </c>
      <c r="M43" s="57"/>
      <c r="R43" s="49"/>
    </row>
    <row r="44" spans="2:18" ht="15" hidden="1" customHeight="1">
      <c r="B44" s="49" t="s">
        <v>88</v>
      </c>
      <c r="C44" s="56">
        <f>C8/100</f>
        <v>2.87</v>
      </c>
      <c r="D44" s="56">
        <f>E8/100</f>
        <v>3.15</v>
      </c>
      <c r="E44" s="56">
        <f>MAX(C44:D44,0)</f>
        <v>3.15</v>
      </c>
      <c r="G44" s="1" t="str">
        <f>B44</f>
        <v>per 100 referrals</v>
      </c>
      <c r="L44" s="57">
        <v>100</v>
      </c>
      <c r="M44" s="57"/>
      <c r="R44" s="49"/>
    </row>
    <row r="45" spans="2:18" ht="15" hidden="1" customHeight="1">
      <c r="B45" s="49" t="s">
        <v>89</v>
      </c>
      <c r="C45" s="49">
        <f>C11/100</f>
        <v>1.33</v>
      </c>
      <c r="D45" s="49">
        <f>E11/100</f>
        <v>2.27</v>
      </c>
      <c r="E45" s="56">
        <f>MAX(C45:D45,0)</f>
        <v>2.27</v>
      </c>
      <c r="G45" s="1" t="str">
        <f>B45</f>
        <v>per 100 youth petitioned</v>
      </c>
      <c r="L45" s="57">
        <v>100</v>
      </c>
      <c r="M45" s="57"/>
      <c r="R45" s="49"/>
    </row>
    <row r="46" spans="2:18" ht="15" hidden="1" customHeight="1">
      <c r="B46" s="49" t="s">
        <v>90</v>
      </c>
      <c r="C46" s="49">
        <f>C12/100</f>
        <v>0.66</v>
      </c>
      <c r="D46" s="49">
        <f>E12/100</f>
        <v>1.38</v>
      </c>
      <c r="E46" s="56">
        <f>MAX(C46:D46)</f>
        <v>1.38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10.214</v>
      </c>
      <c r="D48" s="56">
        <f>D42</f>
        <v>3.1019999999999999</v>
      </c>
      <c r="E48" s="56">
        <f>MAX(C48:D48)</f>
        <v>10.214</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0.62</v>
      </c>
      <c r="D49" s="49">
        <f t="shared" si="9"/>
        <v>1.68</v>
      </c>
      <c r="E49" s="49">
        <f>MAX(C49:D49)</f>
        <v>1.68</v>
      </c>
      <c r="G49" s="1" t="str">
        <f>G43</f>
        <v>per 100 arrests</v>
      </c>
      <c r="L49" s="58">
        <f>IF(($E43&gt;0),L43,L42)</f>
        <v>100</v>
      </c>
      <c r="M49" s="58"/>
      <c r="N49" s="21"/>
      <c r="O49" s="21"/>
      <c r="P49" s="21"/>
      <c r="Q49" s="21"/>
      <c r="R49" s="21"/>
    </row>
    <row r="50" spans="2:18" ht="15" hidden="1" customHeight="1">
      <c r="B50" s="49" t="str">
        <f t="shared" si="9"/>
        <v>per 100 referrals</v>
      </c>
      <c r="C50" s="49">
        <f t="shared" si="9"/>
        <v>2.87</v>
      </c>
      <c r="D50" s="49">
        <f t="shared" si="9"/>
        <v>3.15</v>
      </c>
      <c r="E50" s="49">
        <f>MAX(C50:D50)</f>
        <v>3.15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1.33</v>
      </c>
      <c r="D51" s="49">
        <f>IF(($E45&gt;0),D45,D44)</f>
        <v>2.27</v>
      </c>
      <c r="E51" s="49">
        <f>MAX(C51:D51)</f>
        <v>2.27</v>
      </c>
      <c r="G51" s="1" t="str">
        <f>G45</f>
        <v>per 100 youth petitioned</v>
      </c>
      <c r="L51" s="58">
        <f>IF(($E45&gt;0),L45,L44)</f>
        <v>100</v>
      </c>
      <c r="M51" s="58"/>
    </row>
    <row r="52" spans="2:18" ht="15" hidden="1" customHeight="1">
      <c r="B52" s="49" t="str">
        <f>IF(($E46&gt;0),B46,B45)</f>
        <v>per 100 youth found delinquent</v>
      </c>
      <c r="C52" s="49">
        <f>IF(($E46&gt;0),C46,C45)</f>
        <v>0.66</v>
      </c>
      <c r="D52" s="49">
        <f>IF(($E46&gt;0),D46,D45)</f>
        <v>1.38</v>
      </c>
      <c r="E52" s="56">
        <f>MAX(C52:D52)</f>
        <v>1.38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10.214</v>
      </c>
      <c r="D54" s="56">
        <f>D48</f>
        <v>3.1019999999999999</v>
      </c>
      <c r="E54" s="56">
        <f>MAX(C54:D54)</f>
        <v>10.214</v>
      </c>
      <c r="G54" s="1" t="str">
        <f>G48</f>
        <v>per 1000 youth</v>
      </c>
      <c r="L54" s="58">
        <f>L48</f>
        <v>1000</v>
      </c>
      <c r="M54" s="58"/>
    </row>
    <row r="55" spans="2:18" ht="15" hidden="1" customHeight="1">
      <c r="B55" s="49" t="str">
        <f t="shared" ref="B55:D56" si="10">IF(($E49&gt;0),B49,B48)</f>
        <v>per 100 arrests</v>
      </c>
      <c r="C55" s="49">
        <f t="shared" si="10"/>
        <v>0.62</v>
      </c>
      <c r="D55" s="49">
        <f t="shared" si="10"/>
        <v>1.68</v>
      </c>
      <c r="E55" s="49">
        <f>MAX(C55:D55)</f>
        <v>1.68</v>
      </c>
      <c r="G55" s="1" t="str">
        <f>G49</f>
        <v>per 100 arrests</v>
      </c>
      <c r="L55" s="58">
        <f>IF(($E49&gt;0),L49,L48)</f>
        <v>100</v>
      </c>
      <c r="M55" s="58"/>
    </row>
    <row r="56" spans="2:18" ht="15" hidden="1" customHeight="1">
      <c r="B56" s="49" t="str">
        <f t="shared" si="10"/>
        <v>per 100 referrals</v>
      </c>
      <c r="C56" s="49">
        <f t="shared" si="10"/>
        <v>2.87</v>
      </c>
      <c r="D56" s="49">
        <f t="shared" si="10"/>
        <v>3.15</v>
      </c>
      <c r="E56" s="49">
        <f>MAX(C56:D56)</f>
        <v>3.15</v>
      </c>
      <c r="G56" s="1" t="str">
        <f>G50</f>
        <v>per 100 referrals</v>
      </c>
      <c r="L56" s="58">
        <f>IF(($E50&gt;0),L50,L49)</f>
        <v>100</v>
      </c>
      <c r="M56" s="58"/>
    </row>
    <row r="57" spans="2:18" ht="15" hidden="1" customHeight="1">
      <c r="B57" s="49" t="str">
        <f>IF(($E51&gt;0),B51,B49)</f>
        <v>per 100 youth petitioned</v>
      </c>
      <c r="C57" s="49">
        <f>IF(($E51&gt;0),C51,C50)</f>
        <v>1.33</v>
      </c>
      <c r="D57" s="49">
        <f>IF(($E51&gt;0),D51,D50)</f>
        <v>2.27</v>
      </c>
      <c r="E57" s="49">
        <f>MAX(C57:D57)</f>
        <v>2.27</v>
      </c>
      <c r="G57" s="1" t="str">
        <f>G51</f>
        <v>per 100 youth petitioned</v>
      </c>
      <c r="L57" s="58">
        <f>IF(($E51&gt;0),L51,L50)</f>
        <v>100</v>
      </c>
      <c r="M57" s="58"/>
    </row>
    <row r="58" spans="2:18" ht="15" hidden="1" customHeight="1">
      <c r="B58" s="49" t="str">
        <f>IF(($E52&gt;0),B52,B51)</f>
        <v>per 100 youth found delinquent</v>
      </c>
      <c r="C58" s="49">
        <f>IF(($E52&gt;0),C52,C51)</f>
        <v>0.66</v>
      </c>
      <c r="D58" s="49">
        <f>IF(($E52&gt;0),D52,D51)</f>
        <v>1.38</v>
      </c>
      <c r="E58" s="56">
        <f>MAX(C58:D58)</f>
        <v>1.38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10.214</v>
      </c>
      <c r="D60" s="56">
        <f>D54</f>
        <v>3.1019999999999999</v>
      </c>
      <c r="E60" s="56">
        <f>MAX(C60:D60)</f>
        <v>10.214</v>
      </c>
      <c r="G60" s="1" t="str">
        <f>G54</f>
        <v>per 1000 youth</v>
      </c>
      <c r="L60" s="58">
        <f>L54</f>
        <v>1000</v>
      </c>
      <c r="M60" s="58"/>
    </row>
    <row r="61" spans="2:18" ht="15" hidden="1" customHeight="1">
      <c r="B61" s="49" t="str">
        <f t="shared" ref="B61:D62" si="11">IF(($E55&gt;0),B55,B54)</f>
        <v>per 100 arrests</v>
      </c>
      <c r="C61" s="49">
        <f t="shared" si="11"/>
        <v>0.62</v>
      </c>
      <c r="D61" s="49">
        <f t="shared" si="11"/>
        <v>1.68</v>
      </c>
      <c r="E61" s="49">
        <f>MAX(C61:D61)</f>
        <v>1.68</v>
      </c>
      <c r="G61" s="1" t="str">
        <f>G55</f>
        <v>per 100 arrests</v>
      </c>
      <c r="L61" s="58">
        <f>IF(($E55&gt;0),L55,L54)</f>
        <v>100</v>
      </c>
      <c r="M61" s="58"/>
    </row>
    <row r="62" spans="2:18" ht="15" hidden="1" customHeight="1">
      <c r="B62" s="49" t="str">
        <f t="shared" si="11"/>
        <v>per 100 referrals</v>
      </c>
      <c r="C62" s="49">
        <f t="shared" si="11"/>
        <v>2.87</v>
      </c>
      <c r="D62" s="49">
        <f t="shared" si="11"/>
        <v>3.15</v>
      </c>
      <c r="E62" s="49">
        <f>MAX(C62:D62)</f>
        <v>3.15</v>
      </c>
      <c r="G62" s="1" t="str">
        <f>G56</f>
        <v>per 100 referrals</v>
      </c>
      <c r="L62" s="58">
        <f>IF(($E56&gt;0),L56,L55)</f>
        <v>100</v>
      </c>
      <c r="M62" s="58"/>
    </row>
    <row r="63" spans="2:18" ht="15" hidden="1" customHeight="1">
      <c r="B63" s="49" t="str">
        <f>IF(($E57&gt;0),B57,B55)</f>
        <v>per 100 youth petitioned</v>
      </c>
      <c r="C63" s="49">
        <f>IF(($E57&gt;0),C57,C56)</f>
        <v>1.33</v>
      </c>
      <c r="D63" s="49">
        <f>IF(($E57&gt;0),D57,D56)</f>
        <v>2.27</v>
      </c>
      <c r="E63" s="49">
        <f>MAX(C63:D63)</f>
        <v>2.27</v>
      </c>
      <c r="G63" s="1" t="str">
        <f>G57</f>
        <v>per 100 youth petitioned</v>
      </c>
      <c r="L63" s="58">
        <f>IF(($E57&gt;0),L57,L56)</f>
        <v>100</v>
      </c>
      <c r="M63" s="58"/>
    </row>
    <row r="64" spans="2:18" ht="15" hidden="1" customHeight="1">
      <c r="B64" s="49" t="str">
        <f>IF(($E58&gt;0),B58,B57)</f>
        <v>per 100 youth found delinquent</v>
      </c>
      <c r="C64" s="49">
        <f>IF(($E58&gt;0),C58,C57)</f>
        <v>0.66</v>
      </c>
      <c r="D64" s="49">
        <f>IF(($E58&gt;0),D58,D57)</f>
        <v>1.38</v>
      </c>
      <c r="E64" s="56">
        <f>MAX(C64:D64)</f>
        <v>1.38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10.214</v>
      </c>
      <c r="D66" s="56">
        <f>D60</f>
        <v>3.1019999999999999</v>
      </c>
      <c r="E66" s="56">
        <f>MAX(C66:D66)</f>
        <v>10.214</v>
      </c>
      <c r="G66" s="1" t="str">
        <f>G60</f>
        <v>per 1000 youth</v>
      </c>
      <c r="L66" s="58">
        <f>L60</f>
        <v>1000</v>
      </c>
      <c r="M66" s="58">
        <f>IF((B66=G66),1,2)</f>
        <v>1</v>
      </c>
    </row>
    <row r="67" spans="2:13" ht="15" hidden="1" customHeight="1">
      <c r="B67" s="49" t="str">
        <f t="shared" ref="B67:D68" si="12">IF(($E61&gt;0),B61,B60)</f>
        <v>per 100 arrests</v>
      </c>
      <c r="C67" s="49">
        <f t="shared" si="12"/>
        <v>0.62</v>
      </c>
      <c r="D67" s="49">
        <f t="shared" si="12"/>
        <v>1.68</v>
      </c>
      <c r="E67" s="49">
        <f>MAX(C67:D67)</f>
        <v>1.68</v>
      </c>
      <c r="G67" s="1" t="str">
        <f>G61</f>
        <v>per 100 arrests</v>
      </c>
      <c r="L67" s="58">
        <f>IF(($E61&gt;0),L61,L60)</f>
        <v>100</v>
      </c>
      <c r="M67" s="58">
        <f>IF((B67=G67),1,2)</f>
        <v>1</v>
      </c>
    </row>
    <row r="68" spans="2:13" ht="15" hidden="1" customHeight="1">
      <c r="B68" s="49" t="str">
        <f t="shared" si="12"/>
        <v>per 100 referrals</v>
      </c>
      <c r="C68" s="49">
        <f t="shared" si="12"/>
        <v>2.87</v>
      </c>
      <c r="D68" s="49">
        <f t="shared" si="12"/>
        <v>3.15</v>
      </c>
      <c r="E68" s="49">
        <f>MAX(C68:D68)</f>
        <v>3.15</v>
      </c>
      <c r="G68" s="1" t="str">
        <f>G62</f>
        <v>per 100 referrals</v>
      </c>
      <c r="L68" s="58">
        <f>IF(($E62&gt;0),L62,L61)</f>
        <v>100</v>
      </c>
      <c r="M68" s="58">
        <f>IF((B68=G68),1,2)</f>
        <v>1</v>
      </c>
    </row>
    <row r="69" spans="2:13" ht="15" hidden="1" customHeight="1">
      <c r="B69" s="49" t="str">
        <f>IF(($E63&gt;0),B63,B61)</f>
        <v>per 100 youth petitioned</v>
      </c>
      <c r="C69" s="49">
        <f>IF(($E63&gt;0),C63,C62)</f>
        <v>1.33</v>
      </c>
      <c r="D69" s="49">
        <f>IF(($E63&gt;0),D63,D62)</f>
        <v>2.27</v>
      </c>
      <c r="E69" s="49">
        <f>MAX(C69:D69)</f>
        <v>2.27</v>
      </c>
      <c r="G69" s="1" t="str">
        <f>G63</f>
        <v>per 100 youth petitioned</v>
      </c>
      <c r="L69" s="58">
        <f>IF(($E63&gt;0),L63,L62)</f>
        <v>100</v>
      </c>
      <c r="M69" s="58">
        <f>IF((B69=G69),1,2)</f>
        <v>1</v>
      </c>
    </row>
    <row r="70" spans="2:13" ht="15" hidden="1" customHeight="1">
      <c r="B70" s="49" t="str">
        <f>IF(($E64&gt;0),B64,B63)</f>
        <v>per 100 youth found delinquent</v>
      </c>
      <c r="C70" s="49">
        <f>IF(($E64&gt;0),C64,C63)</f>
        <v>0.66</v>
      </c>
      <c r="D70" s="49">
        <f>IF(($E64&gt;0),D64,D63)</f>
        <v>1.38</v>
      </c>
      <c r="E70" s="56">
        <f>MAX(C70:D70)</f>
        <v>1.38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Berrien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10214</v>
      </c>
      <c r="D6" s="34"/>
      <c r="E6" s="33">
        <f>'Data Entry'!F6</f>
        <v>297</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62</v>
      </c>
      <c r="D7" s="34">
        <f>IF((AND(C66&gt;0,C7&gt;0)),(C7/C66),0)</f>
        <v>6.0700998629332288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297</v>
      </c>
      <c r="P7" s="42">
        <f t="shared" ref="P7:P15" si="4">C7</f>
        <v>62</v>
      </c>
      <c r="Q7" s="42">
        <f>C6-C7</f>
        <v>10152</v>
      </c>
      <c r="R7" s="42">
        <f t="shared" ref="R7:R15" si="5">SUM(N7:Q7)</f>
        <v>10511</v>
      </c>
      <c r="S7" s="30">
        <f t="shared" ref="S7:S15" si="6">R7*((((N7*Q7)-(O7*P7))^2))</f>
        <v>3564021487356</v>
      </c>
      <c r="T7" s="30">
        <f t="shared" ref="T7:T15" si="7">(N7+O7)*(P7+Q7)*(N7+P7)*(O7+Q7)</f>
        <v>1965254147604</v>
      </c>
      <c r="U7" s="31">
        <f t="shared" ref="U7:U15" si="8">IF((S7&gt;0),S7/T7,"- -")</f>
        <v>1.8135168378609894</v>
      </c>
    </row>
    <row r="8" spans="2:21" ht="18" customHeight="1">
      <c r="B8" s="32" t="str">
        <f>'Data Entry'!A8</f>
        <v>3. Refer to Juvenile Court</v>
      </c>
      <c r="C8" s="33">
        <f>'Data Entry'!C8</f>
        <v>287</v>
      </c>
      <c r="D8" s="34">
        <f>IF((AND(C67&gt;0,C8&gt;0)),(C8/C67),0)</f>
        <v>462.90322580645164</v>
      </c>
      <c r="E8" s="33">
        <f>'Data Entry'!F8</f>
        <v>1</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-0.95</v>
      </c>
      <c r="P8" s="42">
        <f t="shared" si="4"/>
        <v>287</v>
      </c>
      <c r="Q8" s="42">
        <f>(C$67*L67)-C8</f>
        <v>-225</v>
      </c>
      <c r="R8" s="42">
        <f t="shared" si="5"/>
        <v>62.050000000000011</v>
      </c>
      <c r="S8" s="30">
        <f t="shared" si="6"/>
        <v>140885.92112499988</v>
      </c>
      <c r="T8" s="30">
        <f t="shared" si="7"/>
        <v>-201728.16000000015</v>
      </c>
      <c r="U8" s="31">
        <f t="shared" si="8"/>
        <v>-0.69839491484480787</v>
      </c>
    </row>
    <row r="9" spans="2:21" ht="18" customHeight="1">
      <c r="B9" s="32" t="str">
        <f>'Data Entry'!A9</f>
        <v xml:space="preserve">4. Cases Diverted </v>
      </c>
      <c r="C9" s="33">
        <f>'Data Entry'!C9</f>
        <v>152</v>
      </c>
      <c r="D9" s="34">
        <f>IF((AND(C68&gt;0,C9&gt;0)),((C9/C68)),0)</f>
        <v>52.961672473867594</v>
      </c>
      <c r="E9" s="33">
        <f>'Data Entry'!F9</f>
        <v>1</v>
      </c>
      <c r="F9" s="34">
        <f>IF((AND($E$9&gt;0,$D$68&gt;0)),(($E$9/$D$68)),0)</f>
        <v>100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0</v>
      </c>
      <c r="P9" s="42">
        <f t="shared" si="4"/>
        <v>152</v>
      </c>
      <c r="Q9" s="42">
        <f>(C$68*L68)-C9</f>
        <v>135</v>
      </c>
      <c r="R9" s="42">
        <f t="shared" si="5"/>
        <v>288</v>
      </c>
      <c r="S9" s="30">
        <f t="shared" si="6"/>
        <v>5248800</v>
      </c>
      <c r="T9" s="30">
        <f t="shared" si="7"/>
        <v>5927985</v>
      </c>
      <c r="U9" s="31">
        <f t="shared" si="8"/>
        <v>0.88542734166837467</v>
      </c>
    </row>
    <row r="10" spans="2:21" ht="18" customHeight="1">
      <c r="B10" s="32" t="str">
        <f>'Data Entry'!A10</f>
        <v>5. Cases Involving Secure Detention</v>
      </c>
      <c r="C10" s="33">
        <f>'Data Entry'!C10</f>
        <v>12</v>
      </c>
      <c r="D10" s="34">
        <f>IF(((AND(C68&gt;0,C10&gt;0))),(C10/(C68)),0)</f>
        <v>4.1811846689895473</v>
      </c>
      <c r="E10" s="33">
        <f>'Data Entry'!F10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12</v>
      </c>
      <c r="Q10" s="42">
        <f>(C$68*L68)-C10</f>
        <v>275</v>
      </c>
      <c r="R10" s="42">
        <f t="shared" si="5"/>
        <v>288</v>
      </c>
      <c r="S10" s="30">
        <f t="shared" si="6"/>
        <v>41472</v>
      </c>
      <c r="T10" s="30">
        <f t="shared" si="7"/>
        <v>950544</v>
      </c>
      <c r="U10" s="31">
        <f t="shared" si="8"/>
        <v>4.3629753067717013E-2</v>
      </c>
    </row>
    <row r="11" spans="2:21" ht="18" customHeight="1">
      <c r="B11" s="32" t="str">
        <f>'Data Entry'!A11</f>
        <v>6. Cases Petitioned (Charge Filed)</v>
      </c>
      <c r="C11" s="33">
        <f>'Data Entry'!C11</f>
        <v>133</v>
      </c>
      <c r="D11" s="34">
        <f>IF(((AND(C68&gt;0,C11&gt;0))),(C11/(C68)),0)</f>
        <v>46.341463414634141</v>
      </c>
      <c r="E11" s="33">
        <f>'Data Entry'!F11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v>
      </c>
      <c r="P11" s="42">
        <f t="shared" si="4"/>
        <v>133</v>
      </c>
      <c r="Q11" s="42">
        <f>(C$68*L68)-C11</f>
        <v>154</v>
      </c>
      <c r="R11" s="42">
        <f t="shared" si="5"/>
        <v>288</v>
      </c>
      <c r="S11" s="30">
        <f t="shared" si="6"/>
        <v>5094432</v>
      </c>
      <c r="T11" s="30">
        <f t="shared" si="7"/>
        <v>5916505</v>
      </c>
      <c r="U11" s="31">
        <f t="shared" si="8"/>
        <v>0.86105428796223449</v>
      </c>
    </row>
    <row r="12" spans="2:21" ht="18" customHeight="1">
      <c r="B12" s="32" t="str">
        <f>'Data Entry'!A12</f>
        <v>7. Cases Resulting in Delinquent Findings</v>
      </c>
      <c r="C12" s="33">
        <f>'Data Entry'!C12</f>
        <v>66</v>
      </c>
      <c r="D12" s="34">
        <f>IF(((AND(C69&gt;0,C12&gt;0))),(C12/(C69)),0)</f>
        <v>49.624060150375939</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66</v>
      </c>
      <c r="Q12" s="42">
        <f>(C69*L69)-C12</f>
        <v>67</v>
      </c>
      <c r="R12" s="42">
        <f t="shared" si="5"/>
        <v>133</v>
      </c>
      <c r="S12" s="30">
        <f t="shared" si="6"/>
        <v>0</v>
      </c>
      <c r="T12" s="30">
        <f t="shared" si="7"/>
        <v>0</v>
      </c>
      <c r="U12" s="31" t="str">
        <f t="shared" si="8"/>
        <v>- -</v>
      </c>
    </row>
    <row r="13" spans="2:21" ht="18" customHeight="1">
      <c r="B13" s="32" t="str">
        <f>'Data Entry'!A13</f>
        <v>8. Cases Resulting in Probation Placement</v>
      </c>
      <c r="C13" s="33">
        <f>'Data Entry'!C13</f>
        <v>52</v>
      </c>
      <c r="D13" s="34">
        <f>IF(((AND(C70&gt;0,C13&gt;0))),(C13/(C70)),0)</f>
        <v>78.787878787878782</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52</v>
      </c>
      <c r="Q13" s="42">
        <f>(C70*L70)-C13</f>
        <v>14</v>
      </c>
      <c r="R13" s="42">
        <f t="shared" si="5"/>
        <v>66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7.5757575757575752</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61</v>
      </c>
      <c r="R14" s="42">
        <f t="shared" si="5"/>
        <v>66</v>
      </c>
      <c r="S14" s="30">
        <f t="shared" si="6"/>
        <v>0</v>
      </c>
      <c r="T14" s="30">
        <f t="shared" si="7"/>
        <v>0</v>
      </c>
      <c r="U14" s="31" t="str">
        <f t="shared" si="8"/>
        <v>- -</v>
      </c>
    </row>
    <row r="15" spans="2:21" ht="15.75" customHeight="1">
      <c r="B15" s="32" t="str">
        <f>'Data Entry'!A15</f>
        <v xml:space="preserve">10. Cases Transferred to Adult Court </v>
      </c>
      <c r="C15" s="33">
        <f>'Data Entry'!C15</f>
        <v>5</v>
      </c>
      <c r="D15" s="34">
        <f>IF(((AND(C69&gt;0,C15&gt;0))),((C15/(C69))),0)</f>
        <v>3.7593984962406015</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5</v>
      </c>
      <c r="Q15" s="42">
        <f>(C69*L69)-C15</f>
        <v>128</v>
      </c>
      <c r="R15" s="42">
        <f t="shared" si="5"/>
        <v>133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10.214</v>
      </c>
      <c r="D42" s="56">
        <f>E6/1000</f>
        <v>0.29699999999999999</v>
      </c>
      <c r="E42" s="56">
        <f>MAX(C42:D42)</f>
        <v>10.214</v>
      </c>
      <c r="G42" s="1" t="str">
        <f>B42</f>
        <v>per 1000 youth</v>
      </c>
      <c r="L42" s="57">
        <v>1000</v>
      </c>
      <c r="M42" s="57"/>
      <c r="R42" s="49"/>
    </row>
    <row r="43" spans="2:18" ht="15" hidden="1" customHeight="1">
      <c r="B43" s="49" t="s">
        <v>87</v>
      </c>
      <c r="C43" s="56">
        <f>C7/100</f>
        <v>0.62</v>
      </c>
      <c r="D43" s="56">
        <f>E7/100</f>
        <v>0</v>
      </c>
      <c r="E43" s="56">
        <f>MAX(C43:D43,0)</f>
        <v>0.62</v>
      </c>
      <c r="G43" s="1" t="str">
        <f>B43</f>
        <v>per 100 arrests</v>
      </c>
      <c r="L43" s="57">
        <v>100</v>
      </c>
      <c r="M43" s="57"/>
      <c r="R43" s="49"/>
    </row>
    <row r="44" spans="2:18" ht="15" hidden="1" customHeight="1">
      <c r="B44" s="49" t="s">
        <v>88</v>
      </c>
      <c r="C44" s="56">
        <f>C8/100</f>
        <v>2.87</v>
      </c>
      <c r="D44" s="56">
        <f>E8/100</f>
        <v>0.01</v>
      </c>
      <c r="E44" s="56">
        <f>MAX(C44:D44,0)</f>
        <v>2.87</v>
      </c>
      <c r="G44" s="1" t="str">
        <f>B44</f>
        <v>per 100 referrals</v>
      </c>
      <c r="L44" s="57">
        <v>100</v>
      </c>
      <c r="M44" s="57"/>
      <c r="R44" s="49"/>
    </row>
    <row r="45" spans="2:18" ht="15" hidden="1" customHeight="1">
      <c r="B45" s="49" t="s">
        <v>89</v>
      </c>
      <c r="C45" s="49">
        <f>C11/100</f>
        <v>1.33</v>
      </c>
      <c r="D45" s="49">
        <f>E11/100</f>
        <v>0</v>
      </c>
      <c r="E45" s="56">
        <f>MAX(C45:D45,0)</f>
        <v>1.33</v>
      </c>
      <c r="G45" s="1" t="str">
        <f>B45</f>
        <v>per 100 youth petitioned</v>
      </c>
      <c r="L45" s="57">
        <v>100</v>
      </c>
      <c r="M45" s="57"/>
      <c r="R45" s="49"/>
    </row>
    <row r="46" spans="2:18" ht="15" hidden="1" customHeight="1">
      <c r="B46" s="49" t="s">
        <v>90</v>
      </c>
      <c r="C46" s="49">
        <f>C12/100</f>
        <v>0.66</v>
      </c>
      <c r="D46" s="49">
        <f>E12/100</f>
        <v>0</v>
      </c>
      <c r="E46" s="56">
        <f>MAX(C46:D46)</f>
        <v>0.66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10.214</v>
      </c>
      <c r="D48" s="56">
        <f>D42</f>
        <v>0.29699999999999999</v>
      </c>
      <c r="E48" s="56">
        <f>MAX(C48:D48)</f>
        <v>10.214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0.62</v>
      </c>
      <c r="D49" s="49">
        <f t="shared" si="9"/>
        <v>0</v>
      </c>
      <c r="E49" s="49">
        <f>MAX(C49:D49)</f>
        <v>0.62</v>
      </c>
      <c r="G49" s="1" t="str">
        <f>G43</f>
        <v>per 100 arrests</v>
      </c>
      <c r="L49" s="58">
        <f>IF(($E43&gt;0),L43,L42)</f>
        <v>100</v>
      </c>
      <c r="M49" s="58"/>
      <c r="N49" s="21"/>
      <c r="O49" s="21"/>
      <c r="P49" s="21"/>
      <c r="Q49" s="21"/>
      <c r="R49" s="21"/>
    </row>
    <row r="50" spans="2:18" ht="15" hidden="1" customHeight="1">
      <c r="B50" s="49" t="str">
        <f t="shared" si="9"/>
        <v>per 100 referrals</v>
      </c>
      <c r="C50" s="49">
        <f t="shared" si="9"/>
        <v>2.87</v>
      </c>
      <c r="D50" s="49">
        <f t="shared" si="9"/>
        <v>0.01</v>
      </c>
      <c r="E50" s="49">
        <f>MAX(C50:D50)</f>
        <v>2.87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1.33</v>
      </c>
      <c r="D51" s="49">
        <f>IF(($E45&gt;0),D45,D44)</f>
        <v>0</v>
      </c>
      <c r="E51" s="49">
        <f>MAX(C51:D51)</f>
        <v>1.33</v>
      </c>
      <c r="G51" s="1" t="str">
        <f>G45</f>
        <v>per 100 youth petitioned</v>
      </c>
      <c r="L51" s="58">
        <f>IF(($E45&gt;0),L45,L44)</f>
        <v>100</v>
      </c>
      <c r="M51" s="58"/>
    </row>
    <row r="52" spans="2:18" ht="15" hidden="1" customHeight="1">
      <c r="B52" s="49" t="str">
        <f>IF(($E46&gt;0),B46,B45)</f>
        <v>per 100 youth found delinquent</v>
      </c>
      <c r="C52" s="49">
        <f>IF(($E46&gt;0),C46,C45)</f>
        <v>0.66</v>
      </c>
      <c r="D52" s="49">
        <f>IF(($E46&gt;0),D46,D45)</f>
        <v>0</v>
      </c>
      <c r="E52" s="56">
        <f>MAX(C52:D52)</f>
        <v>0.66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10.214</v>
      </c>
      <c r="D54" s="56">
        <f>D48</f>
        <v>0.29699999999999999</v>
      </c>
      <c r="E54" s="56">
        <f>MAX(C54:D54)</f>
        <v>10.214</v>
      </c>
      <c r="G54" s="1" t="str">
        <f>G48</f>
        <v>per 1000 youth</v>
      </c>
      <c r="L54" s="58">
        <f>L48</f>
        <v>1000</v>
      </c>
      <c r="M54" s="58"/>
    </row>
    <row r="55" spans="2:18" ht="15" hidden="1" customHeight="1">
      <c r="B55" s="49" t="str">
        <f t="shared" ref="B55:D56" si="10">IF(($E49&gt;0),B49,B48)</f>
        <v>per 100 arrests</v>
      </c>
      <c r="C55" s="49">
        <f t="shared" si="10"/>
        <v>0.62</v>
      </c>
      <c r="D55" s="49">
        <f t="shared" si="10"/>
        <v>0</v>
      </c>
      <c r="E55" s="49">
        <f>MAX(C55:D55)</f>
        <v>0.62</v>
      </c>
      <c r="G55" s="1" t="str">
        <f>G49</f>
        <v>per 100 arrests</v>
      </c>
      <c r="L55" s="58">
        <f>IF(($E49&gt;0),L49,L48)</f>
        <v>100</v>
      </c>
      <c r="M55" s="58"/>
    </row>
    <row r="56" spans="2:18" ht="15" hidden="1" customHeight="1">
      <c r="B56" s="49" t="str">
        <f t="shared" si="10"/>
        <v>per 100 referrals</v>
      </c>
      <c r="C56" s="49">
        <f t="shared" si="10"/>
        <v>2.87</v>
      </c>
      <c r="D56" s="49">
        <f t="shared" si="10"/>
        <v>0.01</v>
      </c>
      <c r="E56" s="49">
        <f>MAX(C56:D56)</f>
        <v>2.87</v>
      </c>
      <c r="G56" s="1" t="str">
        <f>G50</f>
        <v>per 100 referrals</v>
      </c>
      <c r="L56" s="58">
        <f>IF(($E50&gt;0),L50,L49)</f>
        <v>100</v>
      </c>
      <c r="M56" s="58"/>
    </row>
    <row r="57" spans="2:18" ht="15" hidden="1" customHeight="1">
      <c r="B57" s="49" t="str">
        <f>IF(($E51&gt;0),B51,B49)</f>
        <v>per 100 youth petitioned</v>
      </c>
      <c r="C57" s="49">
        <f>IF(($E51&gt;0),C51,C50)</f>
        <v>1.33</v>
      </c>
      <c r="D57" s="49">
        <f>IF(($E51&gt;0),D51,D50)</f>
        <v>0</v>
      </c>
      <c r="E57" s="49">
        <f>MAX(C57:D57)</f>
        <v>1.33</v>
      </c>
      <c r="G57" s="1" t="str">
        <f>G51</f>
        <v>per 100 youth petitioned</v>
      </c>
      <c r="L57" s="58">
        <f>IF(($E51&gt;0),L51,L50)</f>
        <v>100</v>
      </c>
      <c r="M57" s="58"/>
    </row>
    <row r="58" spans="2:18" ht="15" hidden="1" customHeight="1">
      <c r="B58" s="49" t="str">
        <f>IF(($E52&gt;0),B52,B51)</f>
        <v>per 100 youth found delinquent</v>
      </c>
      <c r="C58" s="49">
        <f>IF(($E52&gt;0),C52,C51)</f>
        <v>0.66</v>
      </c>
      <c r="D58" s="49">
        <f>IF(($E52&gt;0),D52,D51)</f>
        <v>0</v>
      </c>
      <c r="E58" s="56">
        <f>MAX(C58:D58)</f>
        <v>0.66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10.214</v>
      </c>
      <c r="D60" s="56">
        <f>D54</f>
        <v>0.29699999999999999</v>
      </c>
      <c r="E60" s="56">
        <f>MAX(C60:D60)</f>
        <v>10.214</v>
      </c>
      <c r="G60" s="1" t="str">
        <f>G54</f>
        <v>per 1000 youth</v>
      </c>
      <c r="L60" s="58">
        <f>L54</f>
        <v>1000</v>
      </c>
      <c r="M60" s="58"/>
    </row>
    <row r="61" spans="2:18" ht="15" hidden="1" customHeight="1">
      <c r="B61" s="49" t="str">
        <f t="shared" ref="B61:D62" si="11">IF(($E55&gt;0),B55,B54)</f>
        <v>per 100 arrests</v>
      </c>
      <c r="C61" s="49">
        <f t="shared" si="11"/>
        <v>0.62</v>
      </c>
      <c r="D61" s="49">
        <f t="shared" si="11"/>
        <v>0</v>
      </c>
      <c r="E61" s="49">
        <f>MAX(C61:D61)</f>
        <v>0.62</v>
      </c>
      <c r="G61" s="1" t="str">
        <f>G55</f>
        <v>per 100 arrests</v>
      </c>
      <c r="L61" s="58">
        <f>IF(($E55&gt;0),L55,L54)</f>
        <v>100</v>
      </c>
      <c r="M61" s="58"/>
    </row>
    <row r="62" spans="2:18" ht="15" hidden="1" customHeight="1">
      <c r="B62" s="49" t="str">
        <f t="shared" si="11"/>
        <v>per 100 referrals</v>
      </c>
      <c r="C62" s="49">
        <f t="shared" si="11"/>
        <v>2.87</v>
      </c>
      <c r="D62" s="49">
        <f t="shared" si="11"/>
        <v>0.01</v>
      </c>
      <c r="E62" s="49">
        <f>MAX(C62:D62)</f>
        <v>2.87</v>
      </c>
      <c r="G62" s="1" t="str">
        <f>G56</f>
        <v>per 100 referrals</v>
      </c>
      <c r="L62" s="58">
        <f>IF(($E56&gt;0),L56,L55)</f>
        <v>100</v>
      </c>
      <c r="M62" s="58"/>
    </row>
    <row r="63" spans="2:18" ht="15" hidden="1" customHeight="1">
      <c r="B63" s="49" t="str">
        <f>IF(($E57&gt;0),B57,B55)</f>
        <v>per 100 youth petitioned</v>
      </c>
      <c r="C63" s="49">
        <f>IF(($E57&gt;0),C57,C56)</f>
        <v>1.33</v>
      </c>
      <c r="D63" s="49">
        <f>IF(($E57&gt;0),D57,D56)</f>
        <v>0</v>
      </c>
      <c r="E63" s="49">
        <f>MAX(C63:D63)</f>
        <v>1.33</v>
      </c>
      <c r="G63" s="1" t="str">
        <f>G57</f>
        <v>per 100 youth petitioned</v>
      </c>
      <c r="L63" s="58">
        <f>IF(($E57&gt;0),L57,L56)</f>
        <v>100</v>
      </c>
      <c r="M63" s="58"/>
    </row>
    <row r="64" spans="2:18" ht="15" hidden="1" customHeight="1">
      <c r="B64" s="49" t="str">
        <f>IF(($E58&gt;0),B58,B57)</f>
        <v>per 100 youth found delinquent</v>
      </c>
      <c r="C64" s="49">
        <f>IF(($E58&gt;0),C58,C57)</f>
        <v>0.66</v>
      </c>
      <c r="D64" s="49">
        <f>IF(($E58&gt;0),D58,D57)</f>
        <v>0</v>
      </c>
      <c r="E64" s="56">
        <f>MAX(C64:D64)</f>
        <v>0.66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10.214</v>
      </c>
      <c r="D66" s="56">
        <f>D60</f>
        <v>0.29699999999999999</v>
      </c>
      <c r="E66" s="56">
        <f>MAX(C66:D66)</f>
        <v>10.214</v>
      </c>
      <c r="G66" s="1" t="str">
        <f>G60</f>
        <v>per 1000 youth</v>
      </c>
      <c r="L66" s="58">
        <f>L60</f>
        <v>1000</v>
      </c>
      <c r="M66" s="58">
        <f>IF((B66=G66),1,2)</f>
        <v>1</v>
      </c>
    </row>
    <row r="67" spans="2:13" ht="15" hidden="1" customHeight="1">
      <c r="B67" s="49" t="str">
        <f t="shared" ref="B67:D68" si="12">IF(($E61&gt;0),B61,B60)</f>
        <v>per 100 arrests</v>
      </c>
      <c r="C67" s="49">
        <f t="shared" si="12"/>
        <v>0.62</v>
      </c>
      <c r="D67" s="49">
        <f t="shared" si="12"/>
        <v>0</v>
      </c>
      <c r="E67" s="49">
        <f>MAX(C67:D67)</f>
        <v>0.62</v>
      </c>
      <c r="G67" s="1" t="str">
        <f>G61</f>
        <v>per 100 arrests</v>
      </c>
      <c r="L67" s="58">
        <f>IF(($E61&gt;0),L61,L60)</f>
        <v>100</v>
      </c>
      <c r="M67" s="58">
        <f>IF((B67=G67),1,2)</f>
        <v>1</v>
      </c>
    </row>
    <row r="68" spans="2:13" ht="15" hidden="1" customHeight="1">
      <c r="B68" s="49" t="str">
        <f t="shared" si="12"/>
        <v>per 100 referrals</v>
      </c>
      <c r="C68" s="49">
        <f t="shared" si="12"/>
        <v>2.87</v>
      </c>
      <c r="D68" s="49">
        <f t="shared" si="12"/>
        <v>0.01</v>
      </c>
      <c r="E68" s="49">
        <f>MAX(C68:D68)</f>
        <v>2.87</v>
      </c>
      <c r="G68" s="1" t="str">
        <f>G62</f>
        <v>per 100 referrals</v>
      </c>
      <c r="L68" s="58">
        <f>IF(($E62&gt;0),L62,L61)</f>
        <v>100</v>
      </c>
      <c r="M68" s="58">
        <f>IF((B68=G68),1,2)</f>
        <v>1</v>
      </c>
    </row>
    <row r="69" spans="2:13" ht="15" hidden="1" customHeight="1">
      <c r="B69" s="49" t="str">
        <f>IF(($E63&gt;0),B63,B61)</f>
        <v>per 100 youth petitioned</v>
      </c>
      <c r="C69" s="49">
        <f>IF(($E63&gt;0),C63,C62)</f>
        <v>1.33</v>
      </c>
      <c r="D69" s="49">
        <f>IF(($E63&gt;0),D63,D62)</f>
        <v>0</v>
      </c>
      <c r="E69" s="49">
        <f>MAX(C69:D69)</f>
        <v>1.33</v>
      </c>
      <c r="G69" s="1" t="str">
        <f>G63</f>
        <v>per 100 youth petitioned</v>
      </c>
      <c r="L69" s="58">
        <f>IF(($E63&gt;0),L63,L62)</f>
        <v>100</v>
      </c>
      <c r="M69" s="58">
        <f>IF((B69=G69),1,2)</f>
        <v>1</v>
      </c>
    </row>
    <row r="70" spans="2:13" ht="15" hidden="1" customHeight="1">
      <c r="B70" s="49" t="str">
        <f>IF(($E64&gt;0),B64,B63)</f>
        <v>per 100 youth found delinquent</v>
      </c>
      <c r="C70" s="49">
        <f>IF(($E64&gt;0),C64,C63)</f>
        <v>0.66</v>
      </c>
      <c r="D70" s="49">
        <f>IF(($E64&gt;0),D64,D63)</f>
        <v>0</v>
      </c>
      <c r="E70" s="56">
        <f>MAX(C70:D70)</f>
        <v>0.66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Berrien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10214</v>
      </c>
      <c r="D6" s="34"/>
      <c r="E6" s="33">
        <f>'Data Entry'!E6</f>
        <v>1440</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62</v>
      </c>
      <c r="D7" s="34">
        <f>IF((AND(C66&gt;0,C7&gt;0)),(C7/C66),0)</f>
        <v>6.0700998629332288</v>
      </c>
      <c r="E7" s="33">
        <f>'Data Entry'!E7</f>
        <v>7</v>
      </c>
      <c r="F7" s="34">
        <f>IF((AND($E$7&gt;0,$D$66&gt;0)),($E$7/$D$66),0)</f>
        <v>4.8611111111111116</v>
      </c>
      <c r="G7" s="39">
        <f t="shared" ref="G7:G15" si="0">IF(L$6=100,"*",IF(M7=FALSE,"--",IF(K7=20,"**",($F7/$D7))))</f>
        <v>0.80082885304659512</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7</v>
      </c>
      <c r="O7" s="42">
        <f>E6-E7</f>
        <v>1433</v>
      </c>
      <c r="P7" s="42">
        <f t="shared" ref="P7:P15" si="4">C7</f>
        <v>62</v>
      </c>
      <c r="Q7" s="42">
        <f>C6-C7</f>
        <v>10152</v>
      </c>
      <c r="R7" s="42">
        <f t="shared" ref="R7:R15" si="5">SUM(N7:Q7)</f>
        <v>11654</v>
      </c>
      <c r="S7" s="30">
        <f t="shared" ref="S7:S15" si="6">R7*((((N7*Q7)-(O7*P7))^2))</f>
        <v>3684989252696</v>
      </c>
      <c r="T7" s="30">
        <f t="shared" ref="T7:T15" si="7">(N7+O7)*(P7+Q7)*(N7+P7)*(O7+Q7)</f>
        <v>11757188318400</v>
      </c>
      <c r="U7" s="31">
        <f t="shared" ref="U7:U15" si="8">IF((S7&gt;0),S7/T7,"- -")</f>
        <v>0.31342436243272481</v>
      </c>
    </row>
    <row r="8" spans="2:21" ht="18" customHeight="1">
      <c r="B8" s="32" t="str">
        <f>'Data Entry'!A8</f>
        <v>3. Refer to Juvenile Court</v>
      </c>
      <c r="C8" s="33">
        <f>'Data Entry'!C8</f>
        <v>287</v>
      </c>
      <c r="D8" s="34">
        <f>IF((AND(C67&gt;0,C8&gt;0)),(C8/C67),0)</f>
        <v>462.90322580645164</v>
      </c>
      <c r="E8" s="33">
        <f>'Data Entry'!E8</f>
        <v>19</v>
      </c>
      <c r="F8" s="34">
        <f>IF((AND($E$8&gt;0,$D$67&gt;0)),($E8/$D67),0)</f>
        <v>271.42857142857139</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19</v>
      </c>
      <c r="O8" s="42">
        <f>((D67*L67)-E8)+0.05</f>
        <v>-11.95</v>
      </c>
      <c r="P8" s="42">
        <f t="shared" si="4"/>
        <v>287</v>
      </c>
      <c r="Q8" s="42">
        <f>(C$67*L67)-C8</f>
        <v>-225</v>
      </c>
      <c r="R8" s="42">
        <f t="shared" si="5"/>
        <v>69.050000000000011</v>
      </c>
      <c r="S8" s="30">
        <f t="shared" si="6"/>
        <v>49344277.783625051</v>
      </c>
      <c r="T8" s="30">
        <f t="shared" si="7"/>
        <v>-31692678.57</v>
      </c>
      <c r="U8" s="31">
        <f t="shared" si="8"/>
        <v>-1.5569614185382832</v>
      </c>
    </row>
    <row r="9" spans="2:21" ht="18" customHeight="1">
      <c r="B9" s="32" t="str">
        <f>'Data Entry'!A9</f>
        <v xml:space="preserve">4. Cases Diverted </v>
      </c>
      <c r="C9" s="33">
        <f>'Data Entry'!C9</f>
        <v>152</v>
      </c>
      <c r="D9" s="34">
        <f>IF((AND(C68&gt;0,C9&gt;0)),((C9/C68)),0)</f>
        <v>52.961672473867594</v>
      </c>
      <c r="E9" s="33">
        <f>'Data Entry'!E9</f>
        <v>10</v>
      </c>
      <c r="F9" s="34">
        <f>IF((AND($E$9&gt;0,$D$68&gt;0)),(($E$9/$D$68)),0)</f>
        <v>52.631578947368418</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10</v>
      </c>
      <c r="O9" s="42">
        <f>(D$68*L68)-E9</f>
        <v>9</v>
      </c>
      <c r="P9" s="42">
        <f t="shared" si="4"/>
        <v>152</v>
      </c>
      <c r="Q9" s="42">
        <f>(C$68*L68)-C9</f>
        <v>135</v>
      </c>
      <c r="R9" s="42">
        <f t="shared" si="5"/>
        <v>306</v>
      </c>
      <c r="S9" s="30">
        <f t="shared" si="6"/>
        <v>99144</v>
      </c>
      <c r="T9" s="30">
        <f t="shared" si="7"/>
        <v>127207584</v>
      </c>
      <c r="U9" s="31">
        <f t="shared" si="8"/>
        <v>7.7938749312305149E-4</v>
      </c>
    </row>
    <row r="10" spans="2:21" ht="18" customHeight="1">
      <c r="B10" s="32" t="str">
        <f>'Data Entry'!A10</f>
        <v>5. Cases Involving Secure Detention</v>
      </c>
      <c r="C10" s="33">
        <f>'Data Entry'!C10</f>
        <v>12</v>
      </c>
      <c r="D10" s="34">
        <f>IF(((AND(C68&gt;0,C10&gt;0))),(C10/(C68)),0)</f>
        <v>4.1811846689895473</v>
      </c>
      <c r="E10" s="33">
        <f>'Data Entry'!E10</f>
        <v>1</v>
      </c>
      <c r="F10" s="34">
        <f>IF(((AND($E$10&gt;0,$D$68&gt;0))),($E$10/($D$68)),0)</f>
        <v>5.2631578947368425</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18</v>
      </c>
      <c r="P10" s="42">
        <f t="shared" si="4"/>
        <v>12</v>
      </c>
      <c r="Q10" s="42">
        <f>(C$68*L68)-C10</f>
        <v>275</v>
      </c>
      <c r="R10" s="42">
        <f t="shared" si="5"/>
        <v>306</v>
      </c>
      <c r="S10" s="30">
        <f t="shared" si="6"/>
        <v>1065186</v>
      </c>
      <c r="T10" s="30">
        <f t="shared" si="7"/>
        <v>20770477</v>
      </c>
      <c r="U10" s="31">
        <f t="shared" si="8"/>
        <v>5.1283656124026425E-2</v>
      </c>
    </row>
    <row r="11" spans="2:21" ht="18" customHeight="1">
      <c r="B11" s="32" t="str">
        <f>'Data Entry'!A11</f>
        <v>6. Cases Petitioned (Charge Filed)</v>
      </c>
      <c r="C11" s="33">
        <f>'Data Entry'!C11</f>
        <v>133</v>
      </c>
      <c r="D11" s="34">
        <f>IF(((AND(C68&gt;0,C11&gt;0))),(C11/(C68)),0)</f>
        <v>46.341463414634141</v>
      </c>
      <c r="E11" s="33">
        <f>'Data Entry'!E11</f>
        <v>8</v>
      </c>
      <c r="F11" s="34">
        <f>IF(((AND($E$11&gt;0,$D$68&gt;0))),($E$11/($D$68)),0)</f>
        <v>42.10526315789474</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8</v>
      </c>
      <c r="O11" s="42">
        <f>(D$68*L68)-E11</f>
        <v>11</v>
      </c>
      <c r="P11" s="42">
        <f t="shared" si="4"/>
        <v>133</v>
      </c>
      <c r="Q11" s="42">
        <f>(C$68*L68)-C11</f>
        <v>154</v>
      </c>
      <c r="R11" s="42">
        <f t="shared" si="5"/>
        <v>306</v>
      </c>
      <c r="S11" s="30">
        <f t="shared" si="6"/>
        <v>16328466</v>
      </c>
      <c r="T11" s="30">
        <f t="shared" si="7"/>
        <v>126864045</v>
      </c>
      <c r="U11" s="31">
        <f t="shared" si="8"/>
        <v>0.12870838226859313</v>
      </c>
    </row>
    <row r="12" spans="2:21" ht="18" customHeight="1">
      <c r="B12" s="32" t="str">
        <f>'Data Entry'!A12</f>
        <v>7. Cases Resulting in Delinquent Findings</v>
      </c>
      <c r="C12" s="33">
        <f>'Data Entry'!C12</f>
        <v>66</v>
      </c>
      <c r="D12" s="34">
        <f>IF(((AND(C69&gt;0,C12&gt;0))),(C12/(C69)),0)</f>
        <v>49.624060150375939</v>
      </c>
      <c r="E12" s="33">
        <f>'Data Entry'!E12</f>
        <v>5</v>
      </c>
      <c r="F12" s="34">
        <f>IF(((AND($D$69&gt;0,$E$12&gt;0))),(E12/(D69)),0)</f>
        <v>62.5</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5</v>
      </c>
      <c r="O12" s="42">
        <f>(D69*L69)-E12</f>
        <v>3</v>
      </c>
      <c r="P12" s="42">
        <f t="shared" si="4"/>
        <v>66</v>
      </c>
      <c r="Q12" s="42">
        <f>(C69*L69)-C12</f>
        <v>67</v>
      </c>
      <c r="R12" s="42">
        <f t="shared" si="5"/>
        <v>141</v>
      </c>
      <c r="S12" s="30">
        <f t="shared" si="6"/>
        <v>2646429</v>
      </c>
      <c r="T12" s="30">
        <f t="shared" si="7"/>
        <v>5288080</v>
      </c>
      <c r="U12" s="31">
        <f t="shared" si="8"/>
        <v>0.50045177077502612</v>
      </c>
    </row>
    <row r="13" spans="2:21" ht="18" customHeight="1">
      <c r="B13" s="32" t="str">
        <f>'Data Entry'!A13</f>
        <v>8. Cases Resulting in Probation Placement</v>
      </c>
      <c r="C13" s="33">
        <f>'Data Entry'!C13</f>
        <v>52</v>
      </c>
      <c r="D13" s="34">
        <f>IF(((AND(C70&gt;0,C13&gt;0))),(C13/(C70)),0)</f>
        <v>78.787878787878782</v>
      </c>
      <c r="E13" s="33">
        <f>'Data Entry'!E13</f>
        <v>4</v>
      </c>
      <c r="F13" s="34">
        <f>IF(((AND($D$70&gt;0,$E$13&gt;0))),($E$13/($D$70)),0)</f>
        <v>80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4</v>
      </c>
      <c r="O13" s="42">
        <f>(D70*L70)-E13</f>
        <v>1</v>
      </c>
      <c r="P13" s="42">
        <f t="shared" si="4"/>
        <v>52</v>
      </c>
      <c r="Q13" s="42">
        <f>(C70*L70)-C13</f>
        <v>14</v>
      </c>
      <c r="R13" s="42">
        <f t="shared" si="5"/>
        <v>71</v>
      </c>
      <c r="S13" s="30">
        <f t="shared" si="6"/>
        <v>1136</v>
      </c>
      <c r="T13" s="30">
        <f t="shared" si="7"/>
        <v>277200</v>
      </c>
      <c r="U13" s="31">
        <f t="shared" si="8"/>
        <v>4.0981240981240981E-3</v>
      </c>
    </row>
    <row r="14" spans="2:21" ht="30.75" customHeight="1">
      <c r="B14" s="32" t="str">
        <f>'Data Entry'!A14</f>
        <v xml:space="preserve">9. Cases Resulting in Confinement in Secure Juvenile Correctional Facilities </v>
      </c>
      <c r="C14" s="33">
        <f>'Data Entry'!C14</f>
        <v>5</v>
      </c>
      <c r="D14" s="34">
        <f>IF(((AND(C70&gt;0,C14&gt;0))), ((C14/(C70))),0)</f>
        <v>7.5757575757575752</v>
      </c>
      <c r="E14" s="33">
        <f>'Data Entry'!E14</f>
        <v>1</v>
      </c>
      <c r="F14" s="34">
        <f>IF(((AND($D$70&gt;0,$E$14&gt;0))), (($E$14/($D$70))),0)</f>
        <v>20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4</v>
      </c>
      <c r="P14" s="42">
        <f t="shared" si="4"/>
        <v>5</v>
      </c>
      <c r="Q14" s="42">
        <f>(C70*L70)-C14</f>
        <v>61</v>
      </c>
      <c r="R14" s="42">
        <f t="shared" si="5"/>
        <v>71</v>
      </c>
      <c r="S14" s="30">
        <f t="shared" si="6"/>
        <v>119351</v>
      </c>
      <c r="T14" s="30">
        <f t="shared" si="7"/>
        <v>128700</v>
      </c>
      <c r="U14" s="31">
        <f t="shared" si="8"/>
        <v>0.92735819735819736</v>
      </c>
    </row>
    <row r="15" spans="2:21" ht="15.75" customHeight="1">
      <c r="B15" s="32" t="str">
        <f>'Data Entry'!A15</f>
        <v xml:space="preserve">10. Cases Transferred to Adult Court </v>
      </c>
      <c r="C15" s="33">
        <f>'Data Entry'!C15</f>
        <v>5</v>
      </c>
      <c r="D15" s="34">
        <f>IF(((AND(C69&gt;0,C15&gt;0))),((C15/(C69))),0)</f>
        <v>3.7593984962406015</v>
      </c>
      <c r="E15" s="33">
        <f>'Data Entry'!E15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0</v>
      </c>
      <c r="O15" s="42">
        <f>(D69*L69)-E15</f>
        <v>8</v>
      </c>
      <c r="P15" s="42">
        <f t="shared" si="4"/>
        <v>5</v>
      </c>
      <c r="Q15" s="42">
        <f>(C69*L69)-C15</f>
        <v>128</v>
      </c>
      <c r="R15" s="42">
        <f t="shared" si="5"/>
        <v>141</v>
      </c>
      <c r="S15" s="30">
        <f t="shared" si="6"/>
        <v>225600</v>
      </c>
      <c r="T15" s="30">
        <f t="shared" si="7"/>
        <v>723520</v>
      </c>
      <c r="U15" s="31">
        <f t="shared" si="8"/>
        <v>0.31180893409995575</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10.214</v>
      </c>
      <c r="D42" s="56">
        <f>E6/1000</f>
        <v>1.44</v>
      </c>
      <c r="E42" s="56">
        <f>MAX(C42:D42)</f>
        <v>10.214</v>
      </c>
      <c r="G42" s="1" t="str">
        <f>B42</f>
        <v>per 1000 youth</v>
      </c>
      <c r="L42" s="57">
        <v>1000</v>
      </c>
      <c r="M42" s="57"/>
      <c r="R42" s="49"/>
    </row>
    <row r="43" spans="2:18" ht="15" hidden="1" customHeight="1">
      <c r="B43" s="49" t="s">
        <v>87</v>
      </c>
      <c r="C43" s="56">
        <f>C7/100</f>
        <v>0.62</v>
      </c>
      <c r="D43" s="56">
        <f>E7/100</f>
        <v>7.0000000000000007E-2</v>
      </c>
      <c r="E43" s="56">
        <f>MAX(C43:D43,0)</f>
        <v>0.62</v>
      </c>
      <c r="G43" s="1" t="str">
        <f>B43</f>
        <v>per 100 arrests</v>
      </c>
      <c r="L43" s="57">
        <v>100</v>
      </c>
      <c r="M43" s="57"/>
      <c r="R43" s="49"/>
    </row>
    <row r="44" spans="2:18" ht="15" hidden="1" customHeight="1">
      <c r="B44" s="49" t="s">
        <v>88</v>
      </c>
      <c r="C44" s="56">
        <f>C8/100</f>
        <v>2.87</v>
      </c>
      <c r="D44" s="56">
        <f>E8/100</f>
        <v>0.19</v>
      </c>
      <c r="E44" s="56">
        <f>MAX(C44:D44,0)</f>
        <v>2.87</v>
      </c>
      <c r="G44" s="1" t="str">
        <f>B44</f>
        <v>per 100 referrals</v>
      </c>
      <c r="L44" s="57">
        <v>100</v>
      </c>
      <c r="M44" s="57"/>
      <c r="R44" s="49"/>
    </row>
    <row r="45" spans="2:18" ht="15" hidden="1" customHeight="1">
      <c r="B45" s="49" t="s">
        <v>89</v>
      </c>
      <c r="C45" s="49">
        <f>C11/100</f>
        <v>1.33</v>
      </c>
      <c r="D45" s="49">
        <f>E11/100</f>
        <v>0.08</v>
      </c>
      <c r="E45" s="56">
        <f>MAX(C45:D45,0)</f>
        <v>1.33</v>
      </c>
      <c r="G45" s="1" t="str">
        <f>B45</f>
        <v>per 100 youth petitioned</v>
      </c>
      <c r="L45" s="57">
        <v>100</v>
      </c>
      <c r="M45" s="57"/>
      <c r="R45" s="49"/>
    </row>
    <row r="46" spans="2:18" ht="15" hidden="1" customHeight="1">
      <c r="B46" s="49" t="s">
        <v>90</v>
      </c>
      <c r="C46" s="49">
        <f>C12/100</f>
        <v>0.66</v>
      </c>
      <c r="D46" s="49">
        <f>E12/100</f>
        <v>0.05</v>
      </c>
      <c r="E46" s="56">
        <f>MAX(C46:D46)</f>
        <v>0.66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10.214</v>
      </c>
      <c r="D48" s="56">
        <f>D42</f>
        <v>1.44</v>
      </c>
      <c r="E48" s="56">
        <f>MAX(C48:D48)</f>
        <v>10.214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0.62</v>
      </c>
      <c r="D49" s="49">
        <f t="shared" si="9"/>
        <v>7.0000000000000007E-2</v>
      </c>
      <c r="E49" s="49">
        <f>MAX(C49:D49)</f>
        <v>0.62</v>
      </c>
      <c r="G49" s="1" t="str">
        <f>G43</f>
        <v>per 100 arrests</v>
      </c>
      <c r="L49" s="58">
        <f>IF(($E43&gt;0),L43,L42)</f>
        <v>100</v>
      </c>
      <c r="M49" s="58"/>
      <c r="N49" s="21"/>
      <c r="O49" s="21"/>
      <c r="P49" s="21"/>
      <c r="Q49" s="21"/>
      <c r="R49" s="21"/>
    </row>
    <row r="50" spans="2:18" ht="15" hidden="1" customHeight="1">
      <c r="B50" s="49" t="str">
        <f t="shared" si="9"/>
        <v>per 100 referrals</v>
      </c>
      <c r="C50" s="49">
        <f t="shared" si="9"/>
        <v>2.87</v>
      </c>
      <c r="D50" s="49">
        <f t="shared" si="9"/>
        <v>0.19</v>
      </c>
      <c r="E50" s="49">
        <f>MAX(C50:D50)</f>
        <v>2.87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1.33</v>
      </c>
      <c r="D51" s="49">
        <f>IF(($E45&gt;0),D45,D44)</f>
        <v>0.08</v>
      </c>
      <c r="E51" s="49">
        <f>MAX(C51:D51)</f>
        <v>1.33</v>
      </c>
      <c r="G51" s="1" t="str">
        <f>G45</f>
        <v>per 100 youth petitioned</v>
      </c>
      <c r="L51" s="58">
        <f>IF(($E45&gt;0),L45,L44)</f>
        <v>100</v>
      </c>
      <c r="M51" s="58"/>
    </row>
    <row r="52" spans="2:18" ht="15" hidden="1" customHeight="1">
      <c r="B52" s="49" t="str">
        <f>IF(($E46&gt;0),B46,B45)</f>
        <v>per 100 youth found delinquent</v>
      </c>
      <c r="C52" s="49">
        <f>IF(($E46&gt;0),C46,C45)</f>
        <v>0.66</v>
      </c>
      <c r="D52" s="49">
        <f>IF(($E46&gt;0),D46,D45)</f>
        <v>0.05</v>
      </c>
      <c r="E52" s="56">
        <f>MAX(C52:D52)</f>
        <v>0.66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10.214</v>
      </c>
      <c r="D54" s="56">
        <f>D48</f>
        <v>1.44</v>
      </c>
      <c r="E54" s="56">
        <f>MAX(C54:D54)</f>
        <v>10.214</v>
      </c>
      <c r="G54" s="1" t="str">
        <f>G48</f>
        <v>per 1000 youth</v>
      </c>
      <c r="L54" s="58">
        <f>L48</f>
        <v>1000</v>
      </c>
      <c r="M54" s="58"/>
    </row>
    <row r="55" spans="2:18" ht="15" hidden="1" customHeight="1">
      <c r="B55" s="49" t="str">
        <f t="shared" ref="B55:D56" si="10">IF(($E49&gt;0),B49,B48)</f>
        <v>per 100 arrests</v>
      </c>
      <c r="C55" s="49">
        <f t="shared" si="10"/>
        <v>0.62</v>
      </c>
      <c r="D55" s="49">
        <f t="shared" si="10"/>
        <v>7.0000000000000007E-2</v>
      </c>
      <c r="E55" s="49">
        <f>MAX(C55:D55)</f>
        <v>0.62</v>
      </c>
      <c r="G55" s="1" t="str">
        <f>G49</f>
        <v>per 100 arrests</v>
      </c>
      <c r="L55" s="58">
        <f>IF(($E49&gt;0),L49,L48)</f>
        <v>100</v>
      </c>
      <c r="M55" s="58"/>
    </row>
    <row r="56" spans="2:18" ht="15" hidden="1" customHeight="1">
      <c r="B56" s="49" t="str">
        <f t="shared" si="10"/>
        <v>per 100 referrals</v>
      </c>
      <c r="C56" s="49">
        <f t="shared" si="10"/>
        <v>2.87</v>
      </c>
      <c r="D56" s="49">
        <f t="shared" si="10"/>
        <v>0.19</v>
      </c>
      <c r="E56" s="49">
        <f>MAX(C56:D56)</f>
        <v>2.87</v>
      </c>
      <c r="G56" s="1" t="str">
        <f>G50</f>
        <v>per 100 referrals</v>
      </c>
      <c r="L56" s="58">
        <f>IF(($E50&gt;0),L50,L49)</f>
        <v>100</v>
      </c>
      <c r="M56" s="58"/>
    </row>
    <row r="57" spans="2:18" ht="15" hidden="1" customHeight="1">
      <c r="B57" s="49" t="str">
        <f>IF(($E51&gt;0),B51,B49)</f>
        <v>per 100 youth petitioned</v>
      </c>
      <c r="C57" s="49">
        <f>IF(($E51&gt;0),C51,C50)</f>
        <v>1.33</v>
      </c>
      <c r="D57" s="49">
        <f>IF(($E51&gt;0),D51,D50)</f>
        <v>0.08</v>
      </c>
      <c r="E57" s="49">
        <f>MAX(C57:D57)</f>
        <v>1.33</v>
      </c>
      <c r="G57" s="1" t="str">
        <f>G51</f>
        <v>per 100 youth petitioned</v>
      </c>
      <c r="L57" s="58">
        <f>IF(($E51&gt;0),L51,L50)</f>
        <v>100</v>
      </c>
      <c r="M57" s="58"/>
    </row>
    <row r="58" spans="2:18" ht="15" hidden="1" customHeight="1">
      <c r="B58" s="49" t="str">
        <f>IF(($E52&gt;0),B52,B51)</f>
        <v>per 100 youth found delinquent</v>
      </c>
      <c r="C58" s="49">
        <f>IF(($E52&gt;0),C52,C51)</f>
        <v>0.66</v>
      </c>
      <c r="D58" s="49">
        <f>IF(($E52&gt;0),D52,D51)</f>
        <v>0.05</v>
      </c>
      <c r="E58" s="56">
        <f>MAX(C58:D58)</f>
        <v>0.66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10.214</v>
      </c>
      <c r="D60" s="56">
        <f>D54</f>
        <v>1.44</v>
      </c>
      <c r="E60" s="56">
        <f>MAX(C60:D60)</f>
        <v>10.214</v>
      </c>
      <c r="G60" s="1" t="str">
        <f>G54</f>
        <v>per 1000 youth</v>
      </c>
      <c r="L60" s="58">
        <f>L54</f>
        <v>1000</v>
      </c>
      <c r="M60" s="58"/>
    </row>
    <row r="61" spans="2:18" ht="15" hidden="1" customHeight="1">
      <c r="B61" s="49" t="str">
        <f t="shared" ref="B61:D62" si="11">IF(($E55&gt;0),B55,B54)</f>
        <v>per 100 arrests</v>
      </c>
      <c r="C61" s="49">
        <f t="shared" si="11"/>
        <v>0.62</v>
      </c>
      <c r="D61" s="49">
        <f t="shared" si="11"/>
        <v>7.0000000000000007E-2</v>
      </c>
      <c r="E61" s="49">
        <f>MAX(C61:D61)</f>
        <v>0.62</v>
      </c>
      <c r="G61" s="1" t="str">
        <f>G55</f>
        <v>per 100 arrests</v>
      </c>
      <c r="L61" s="58">
        <f>IF(($E55&gt;0),L55,L54)</f>
        <v>100</v>
      </c>
      <c r="M61" s="58"/>
    </row>
    <row r="62" spans="2:18" ht="15" hidden="1" customHeight="1">
      <c r="B62" s="49" t="str">
        <f t="shared" si="11"/>
        <v>per 100 referrals</v>
      </c>
      <c r="C62" s="49">
        <f t="shared" si="11"/>
        <v>2.87</v>
      </c>
      <c r="D62" s="49">
        <f t="shared" si="11"/>
        <v>0.19</v>
      </c>
      <c r="E62" s="49">
        <f>MAX(C62:D62)</f>
        <v>2.87</v>
      </c>
      <c r="G62" s="1" t="str">
        <f>G56</f>
        <v>per 100 referrals</v>
      </c>
      <c r="L62" s="58">
        <f>IF(($E56&gt;0),L56,L55)</f>
        <v>100</v>
      </c>
      <c r="M62" s="58"/>
    </row>
    <row r="63" spans="2:18" ht="15" hidden="1" customHeight="1">
      <c r="B63" s="49" t="str">
        <f>IF(($E57&gt;0),B57,B55)</f>
        <v>per 100 youth petitioned</v>
      </c>
      <c r="C63" s="49">
        <f>IF(($E57&gt;0),C57,C56)</f>
        <v>1.33</v>
      </c>
      <c r="D63" s="49">
        <f>IF(($E57&gt;0),D57,D56)</f>
        <v>0.08</v>
      </c>
      <c r="E63" s="49">
        <f>MAX(C63:D63)</f>
        <v>1.33</v>
      </c>
      <c r="G63" s="1" t="str">
        <f>G57</f>
        <v>per 100 youth petitioned</v>
      </c>
      <c r="L63" s="58">
        <f>IF(($E57&gt;0),L57,L56)</f>
        <v>100</v>
      </c>
      <c r="M63" s="58"/>
    </row>
    <row r="64" spans="2:18" ht="15" hidden="1" customHeight="1">
      <c r="B64" s="49" t="str">
        <f>IF(($E58&gt;0),B58,B57)</f>
        <v>per 100 youth found delinquent</v>
      </c>
      <c r="C64" s="49">
        <f>IF(($E58&gt;0),C58,C57)</f>
        <v>0.66</v>
      </c>
      <c r="D64" s="49">
        <f>IF(($E58&gt;0),D58,D57)</f>
        <v>0.05</v>
      </c>
      <c r="E64" s="56">
        <f>MAX(C64:D64)</f>
        <v>0.66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10.214</v>
      </c>
      <c r="D66" s="56">
        <f>D60</f>
        <v>1.44</v>
      </c>
      <c r="E66" s="56">
        <f>MAX(C66:D66)</f>
        <v>10.214</v>
      </c>
      <c r="G66" s="1" t="str">
        <f>G60</f>
        <v>per 1000 youth</v>
      </c>
      <c r="L66" s="58">
        <f>L60</f>
        <v>1000</v>
      </c>
      <c r="M66" s="58">
        <f>IF((B66=G66),1,2)</f>
        <v>1</v>
      </c>
    </row>
    <row r="67" spans="2:13" ht="15" hidden="1" customHeight="1">
      <c r="B67" s="49" t="str">
        <f t="shared" ref="B67:D68" si="12">IF(($E61&gt;0),B61,B60)</f>
        <v>per 100 arrests</v>
      </c>
      <c r="C67" s="49">
        <f t="shared" si="12"/>
        <v>0.62</v>
      </c>
      <c r="D67" s="49">
        <f t="shared" si="12"/>
        <v>7.0000000000000007E-2</v>
      </c>
      <c r="E67" s="49">
        <f>MAX(C67:D67)</f>
        <v>0.62</v>
      </c>
      <c r="G67" s="1" t="str">
        <f>G61</f>
        <v>per 100 arrests</v>
      </c>
      <c r="L67" s="58">
        <f>IF(($E61&gt;0),L61,L60)</f>
        <v>100</v>
      </c>
      <c r="M67" s="58">
        <f>IF((B67=G67),1,2)</f>
        <v>1</v>
      </c>
    </row>
    <row r="68" spans="2:13" ht="15" hidden="1" customHeight="1">
      <c r="B68" s="49" t="str">
        <f t="shared" si="12"/>
        <v>per 100 referrals</v>
      </c>
      <c r="C68" s="49">
        <f t="shared" si="12"/>
        <v>2.87</v>
      </c>
      <c r="D68" s="49">
        <f t="shared" si="12"/>
        <v>0.19</v>
      </c>
      <c r="E68" s="49">
        <f>MAX(C68:D68)</f>
        <v>2.87</v>
      </c>
      <c r="G68" s="1" t="str">
        <f>G62</f>
        <v>per 100 referrals</v>
      </c>
      <c r="L68" s="58">
        <f>IF(($E62&gt;0),L62,L61)</f>
        <v>100</v>
      </c>
      <c r="M68" s="58">
        <f>IF((B68=G68),1,2)</f>
        <v>1</v>
      </c>
    </row>
    <row r="69" spans="2:13" ht="15" hidden="1" customHeight="1">
      <c r="B69" s="49" t="str">
        <f>IF(($E63&gt;0),B63,B61)</f>
        <v>per 100 youth petitioned</v>
      </c>
      <c r="C69" s="49">
        <f>IF(($E63&gt;0),C63,C62)</f>
        <v>1.33</v>
      </c>
      <c r="D69" s="49">
        <f>IF(($E63&gt;0),D63,D62)</f>
        <v>0.08</v>
      </c>
      <c r="E69" s="49">
        <f>MAX(C69:D69)</f>
        <v>1.33</v>
      </c>
      <c r="G69" s="1" t="str">
        <f>G63</f>
        <v>per 100 youth petitioned</v>
      </c>
      <c r="L69" s="58">
        <f>IF(($E63&gt;0),L63,L62)</f>
        <v>100</v>
      </c>
      <c r="M69" s="58">
        <f>IF((B69=G69),1,2)</f>
        <v>1</v>
      </c>
    </row>
    <row r="70" spans="2:13" ht="15" hidden="1" customHeight="1">
      <c r="B70" s="49" t="str">
        <f>IF(($E64&gt;0),B64,B63)</f>
        <v>per 100 youth found delinquent</v>
      </c>
      <c r="C70" s="49">
        <f>IF(($E64&gt;0),C64,C63)</f>
        <v>0.66</v>
      </c>
      <c r="D70" s="49">
        <f>IF(($E64&gt;0),D64,D63)</f>
        <v>0.05</v>
      </c>
      <c r="E70" s="56">
        <f>MAX(C70:D70)</f>
        <v>0.66</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Berrien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10214</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62</v>
      </c>
      <c r="D7" s="34">
        <f>IF((AND(C66&gt;0,C7&gt;0)),(C7/C66),0)</f>
        <v>6.0700998629332288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62</v>
      </c>
      <c r="Q7" s="42">
        <f>C6-C7</f>
        <v>10152</v>
      </c>
      <c r="R7" s="42">
        <f t="shared" ref="R7:R15" si="5">SUM(N7:Q7)</f>
        <v>10214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287</v>
      </c>
      <c r="D8" s="34">
        <f>IF((AND(C67&gt;0,C8&gt;0)),(C8/C67),0)</f>
        <v>462.90322580645164</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287</v>
      </c>
      <c r="Q8" s="42">
        <f>(C$67*L67)-C8</f>
        <v>-225</v>
      </c>
      <c r="R8" s="42">
        <f t="shared" si="5"/>
        <v>62.050000000000011</v>
      </c>
      <c r="S8" s="30">
        <f t="shared" si="6"/>
        <v>12777.491125000004</v>
      </c>
      <c r="T8" s="30">
        <f t="shared" si="7"/>
        <v>-200138.01500000001</v>
      </c>
      <c r="U8" s="31">
        <f t="shared" si="8"/>
        <v>-6.3843398891509959E-2</v>
      </c>
    </row>
    <row r="9" spans="2:21" ht="18" customHeight="1">
      <c r="B9" s="32" t="str">
        <f>'Data Entry'!A9</f>
        <v xml:space="preserve">4. Cases Diverted </v>
      </c>
      <c r="C9" s="33">
        <f>'Data Entry'!C9</f>
        <v>152</v>
      </c>
      <c r="D9" s="34">
        <f>IF((AND(C68&gt;0,C9&gt;0)),((C9/C68)),0)</f>
        <v>52.961672473867594</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152</v>
      </c>
      <c r="Q9" s="42">
        <f>(C$68*L68)-C9</f>
        <v>135</v>
      </c>
      <c r="R9" s="42">
        <f t="shared" si="5"/>
        <v>287</v>
      </c>
      <c r="S9" s="30">
        <f t="shared" si="6"/>
        <v>0</v>
      </c>
      <c r="T9" s="30">
        <f t="shared" si="7"/>
        <v>0</v>
      </c>
      <c r="U9" s="31" t="str">
        <f t="shared" si="8"/>
        <v>- -</v>
      </c>
    </row>
    <row r="10" spans="2:21" ht="18" customHeight="1">
      <c r="B10" s="32" t="str">
        <f>'Data Entry'!A10</f>
        <v>5. Cases Involving Secure Detention</v>
      </c>
      <c r="C10" s="33">
        <f>'Data Entry'!C10</f>
        <v>12</v>
      </c>
      <c r="D10" s="34">
        <f>IF(((AND(C68&gt;0,C10&gt;0))),(C10/(C68)),0)</f>
        <v>4.1811846689895473</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12</v>
      </c>
      <c r="Q10" s="42">
        <f>(C$68*L68)-C10</f>
        <v>275</v>
      </c>
      <c r="R10" s="42">
        <f t="shared" si="5"/>
        <v>287</v>
      </c>
      <c r="S10" s="30">
        <f t="shared" si="6"/>
        <v>0</v>
      </c>
      <c r="T10" s="30">
        <f t="shared" si="7"/>
        <v>0</v>
      </c>
      <c r="U10" s="31" t="str">
        <f t="shared" si="8"/>
        <v>- -</v>
      </c>
    </row>
    <row r="11" spans="2:21" ht="18" customHeight="1">
      <c r="B11" s="32" t="str">
        <f>'Data Entry'!A11</f>
        <v>6. Cases Petitioned (Charge Filed)</v>
      </c>
      <c r="C11" s="33">
        <f>'Data Entry'!C11</f>
        <v>133</v>
      </c>
      <c r="D11" s="34">
        <f>IF(((AND(C68&gt;0,C11&gt;0))),(C11/(C68)),0)</f>
        <v>46.341463414634141</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133</v>
      </c>
      <c r="Q11" s="42">
        <f>(C$68*L68)-C11</f>
        <v>154</v>
      </c>
      <c r="R11" s="42">
        <f t="shared" si="5"/>
        <v>287</v>
      </c>
      <c r="S11" s="30">
        <f t="shared" si="6"/>
        <v>0</v>
      </c>
      <c r="T11" s="30">
        <f t="shared" si="7"/>
        <v>0</v>
      </c>
      <c r="U11" s="31" t="str">
        <f t="shared" si="8"/>
        <v>- -</v>
      </c>
    </row>
    <row r="12" spans="2:21" ht="18" customHeight="1">
      <c r="B12" s="32" t="str">
        <f>'Data Entry'!A12</f>
        <v>7. Cases Resulting in Delinquent Findings</v>
      </c>
      <c r="C12" s="33">
        <f>'Data Entry'!C12</f>
        <v>66</v>
      </c>
      <c r="D12" s="34">
        <f>IF(((AND(C69&gt;0,C12&gt;0))),(C12/(C69)),0)</f>
        <v>49.624060150375939</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66</v>
      </c>
      <c r="Q12" s="42">
        <f>(C69*L69)-C12</f>
        <v>67</v>
      </c>
      <c r="R12" s="42">
        <f t="shared" si="5"/>
        <v>133</v>
      </c>
      <c r="S12" s="30">
        <f t="shared" si="6"/>
        <v>0</v>
      </c>
      <c r="T12" s="30">
        <f t="shared" si="7"/>
        <v>0</v>
      </c>
      <c r="U12" s="31" t="str">
        <f t="shared" si="8"/>
        <v>- -</v>
      </c>
    </row>
    <row r="13" spans="2:21" ht="18" customHeight="1">
      <c r="B13" s="32" t="str">
        <f>'Data Entry'!A13</f>
        <v>8. Cases Resulting in Probation Placement</v>
      </c>
      <c r="C13" s="33">
        <f>'Data Entry'!C13</f>
        <v>52</v>
      </c>
      <c r="D13" s="34">
        <f>IF(((AND(C70&gt;0,C13&gt;0))),(C13/(C70)),0)</f>
        <v>78.787878787878782</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52</v>
      </c>
      <c r="Q13" s="42">
        <f>(C70*L70)-C13</f>
        <v>14</v>
      </c>
      <c r="R13" s="42">
        <f t="shared" si="5"/>
        <v>66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7.5757575757575752</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61</v>
      </c>
      <c r="R14" s="42">
        <f t="shared" si="5"/>
        <v>66</v>
      </c>
      <c r="S14" s="30">
        <f t="shared" si="6"/>
        <v>0</v>
      </c>
      <c r="T14" s="30">
        <f t="shared" si="7"/>
        <v>0</v>
      </c>
      <c r="U14" s="31" t="str">
        <f t="shared" si="8"/>
        <v>- -</v>
      </c>
    </row>
    <row r="15" spans="2:21" ht="15.75" customHeight="1">
      <c r="B15" s="32" t="str">
        <f>'Data Entry'!A15</f>
        <v xml:space="preserve">10. Cases Transferred to Adult Court </v>
      </c>
      <c r="C15" s="33">
        <f>'Data Entry'!C15</f>
        <v>5</v>
      </c>
      <c r="D15" s="34">
        <f>IF(((AND(C69&gt;0,C15&gt;0))),((C15/(C69))),0)</f>
        <v>3.7593984962406015</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5</v>
      </c>
      <c r="Q15" s="42">
        <f>(C69*L69)-C15</f>
        <v>128</v>
      </c>
      <c r="R15" s="42">
        <f t="shared" si="5"/>
        <v>133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10.214</v>
      </c>
      <c r="D42" s="56">
        <f>E6/1000</f>
        <v>0</v>
      </c>
      <c r="E42" s="56">
        <f>MAX(C42:D42)</f>
        <v>10.214</v>
      </c>
      <c r="G42" s="1" t="str">
        <f>B42</f>
        <v>per 1000 youth</v>
      </c>
      <c r="L42" s="57">
        <v>1000</v>
      </c>
      <c r="M42" s="57"/>
      <c r="R42" s="49"/>
    </row>
    <row r="43" spans="2:18" ht="15" hidden="1" customHeight="1">
      <c r="B43" s="49" t="s">
        <v>87</v>
      </c>
      <c r="C43" s="56">
        <f>C7/100</f>
        <v>0.62</v>
      </c>
      <c r="D43" s="56">
        <f>E7/100</f>
        <v>0</v>
      </c>
      <c r="E43" s="56">
        <f>MAX(C43:D43,0)</f>
        <v>0.62</v>
      </c>
      <c r="G43" s="1" t="str">
        <f>B43</f>
        <v>per 100 arrests</v>
      </c>
      <c r="L43" s="57">
        <v>100</v>
      </c>
      <c r="M43" s="57"/>
      <c r="R43" s="49"/>
    </row>
    <row r="44" spans="2:18" ht="15" hidden="1" customHeight="1">
      <c r="B44" s="49" t="s">
        <v>88</v>
      </c>
      <c r="C44" s="56">
        <f>C8/100</f>
        <v>2.87</v>
      </c>
      <c r="D44" s="56">
        <f>E8/100</f>
        <v>0</v>
      </c>
      <c r="E44" s="56">
        <f>MAX(C44:D44,0)</f>
        <v>2.87</v>
      </c>
      <c r="G44" s="1" t="str">
        <f>B44</f>
        <v>per 100 referrals</v>
      </c>
      <c r="L44" s="57">
        <v>100</v>
      </c>
      <c r="M44" s="57"/>
      <c r="R44" s="49"/>
    </row>
    <row r="45" spans="2:18" ht="15" hidden="1" customHeight="1">
      <c r="B45" s="49" t="s">
        <v>89</v>
      </c>
      <c r="C45" s="49">
        <f>C11/100</f>
        <v>1.33</v>
      </c>
      <c r="D45" s="49">
        <f>E11/100</f>
        <v>0</v>
      </c>
      <c r="E45" s="56">
        <f>MAX(C45:D45,0)</f>
        <v>1.33</v>
      </c>
      <c r="G45" s="1" t="str">
        <f>B45</f>
        <v>per 100 youth petitioned</v>
      </c>
      <c r="L45" s="57">
        <v>100</v>
      </c>
      <c r="M45" s="57"/>
      <c r="R45" s="49"/>
    </row>
    <row r="46" spans="2:18" ht="15" hidden="1" customHeight="1">
      <c r="B46" s="49" t="s">
        <v>90</v>
      </c>
      <c r="C46" s="49">
        <f>C12/100</f>
        <v>0.66</v>
      </c>
      <c r="D46" s="49">
        <f>E12/100</f>
        <v>0</v>
      </c>
      <c r="E46" s="56">
        <f>MAX(C46:D46)</f>
        <v>0.66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10.214</v>
      </c>
      <c r="D48" s="56">
        <f>D42</f>
        <v>0</v>
      </c>
      <c r="E48" s="56">
        <f>MAX(C48:D48)</f>
        <v>10.214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0.62</v>
      </c>
      <c r="D49" s="49">
        <f t="shared" si="9"/>
        <v>0</v>
      </c>
      <c r="E49" s="49">
        <f>MAX(C49:D49)</f>
        <v>0.62</v>
      </c>
      <c r="G49" s="1" t="str">
        <f>G43</f>
        <v>per 100 arrests</v>
      </c>
      <c r="L49" s="58">
        <f>IF(($E43&gt;0),L43,L42)</f>
        <v>100</v>
      </c>
      <c r="M49" s="58"/>
      <c r="N49" s="21"/>
      <c r="O49" s="21"/>
      <c r="P49" s="21"/>
      <c r="Q49" s="21"/>
      <c r="R49" s="21"/>
    </row>
    <row r="50" spans="2:18" ht="15" hidden="1" customHeight="1">
      <c r="B50" s="49" t="str">
        <f t="shared" si="9"/>
        <v>per 100 referrals</v>
      </c>
      <c r="C50" s="49">
        <f t="shared" si="9"/>
        <v>2.87</v>
      </c>
      <c r="D50" s="49">
        <f t="shared" si="9"/>
        <v>0</v>
      </c>
      <c r="E50" s="49">
        <f>MAX(C50:D50)</f>
        <v>2.87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1.33</v>
      </c>
      <c r="D51" s="49">
        <f>IF(($E45&gt;0),D45,D44)</f>
        <v>0</v>
      </c>
      <c r="E51" s="49">
        <f>MAX(C51:D51)</f>
        <v>1.33</v>
      </c>
      <c r="G51" s="1" t="str">
        <f>G45</f>
        <v>per 100 youth petitioned</v>
      </c>
      <c r="L51" s="58">
        <f>IF(($E45&gt;0),L45,L44)</f>
        <v>100</v>
      </c>
      <c r="M51" s="58"/>
    </row>
    <row r="52" spans="2:18" ht="15" hidden="1" customHeight="1">
      <c r="B52" s="49" t="str">
        <f>IF(($E46&gt;0),B46,B45)</f>
        <v>per 100 youth found delinquent</v>
      </c>
      <c r="C52" s="49">
        <f>IF(($E46&gt;0),C46,C45)</f>
        <v>0.66</v>
      </c>
      <c r="D52" s="49">
        <f>IF(($E46&gt;0),D46,D45)</f>
        <v>0</v>
      </c>
      <c r="E52" s="56">
        <f>MAX(C52:D52)</f>
        <v>0.66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10.214</v>
      </c>
      <c r="D54" s="56">
        <f>D48</f>
        <v>0</v>
      </c>
      <c r="E54" s="56">
        <f>MAX(C54:D54)</f>
        <v>10.214</v>
      </c>
      <c r="G54" s="1" t="str">
        <f>G48</f>
        <v>per 1000 youth</v>
      </c>
      <c r="L54" s="58">
        <f>L48</f>
        <v>1000</v>
      </c>
      <c r="M54" s="58"/>
    </row>
    <row r="55" spans="2:18" ht="15" hidden="1" customHeight="1">
      <c r="B55" s="49" t="str">
        <f t="shared" ref="B55:D56" si="10">IF(($E49&gt;0),B49,B48)</f>
        <v>per 100 arrests</v>
      </c>
      <c r="C55" s="49">
        <f t="shared" si="10"/>
        <v>0.62</v>
      </c>
      <c r="D55" s="49">
        <f t="shared" si="10"/>
        <v>0</v>
      </c>
      <c r="E55" s="49">
        <f>MAX(C55:D55)</f>
        <v>0.62</v>
      </c>
      <c r="G55" s="1" t="str">
        <f>G49</f>
        <v>per 100 arrests</v>
      </c>
      <c r="L55" s="58">
        <f>IF(($E49&gt;0),L49,L48)</f>
        <v>100</v>
      </c>
      <c r="M55" s="58"/>
    </row>
    <row r="56" spans="2:18" ht="15" hidden="1" customHeight="1">
      <c r="B56" s="49" t="str">
        <f t="shared" si="10"/>
        <v>per 100 referrals</v>
      </c>
      <c r="C56" s="49">
        <f t="shared" si="10"/>
        <v>2.87</v>
      </c>
      <c r="D56" s="49">
        <f t="shared" si="10"/>
        <v>0</v>
      </c>
      <c r="E56" s="49">
        <f>MAX(C56:D56)</f>
        <v>2.87</v>
      </c>
      <c r="G56" s="1" t="str">
        <f>G50</f>
        <v>per 100 referrals</v>
      </c>
      <c r="L56" s="58">
        <f>IF(($E50&gt;0),L50,L49)</f>
        <v>100</v>
      </c>
      <c r="M56" s="58"/>
    </row>
    <row r="57" spans="2:18" ht="15" hidden="1" customHeight="1">
      <c r="B57" s="49" t="str">
        <f>IF(($E51&gt;0),B51,B49)</f>
        <v>per 100 youth petitioned</v>
      </c>
      <c r="C57" s="49">
        <f>IF(($E51&gt;0),C51,C50)</f>
        <v>1.33</v>
      </c>
      <c r="D57" s="49">
        <f>IF(($E51&gt;0),D51,D50)</f>
        <v>0</v>
      </c>
      <c r="E57" s="49">
        <f>MAX(C57:D57)</f>
        <v>1.33</v>
      </c>
      <c r="G57" s="1" t="str">
        <f>G51</f>
        <v>per 100 youth petitioned</v>
      </c>
      <c r="L57" s="58">
        <f>IF(($E51&gt;0),L51,L50)</f>
        <v>100</v>
      </c>
      <c r="M57" s="58"/>
    </row>
    <row r="58" spans="2:18" ht="15" hidden="1" customHeight="1">
      <c r="B58" s="49" t="str">
        <f>IF(($E52&gt;0),B52,B51)</f>
        <v>per 100 youth found delinquent</v>
      </c>
      <c r="C58" s="49">
        <f>IF(($E52&gt;0),C52,C51)</f>
        <v>0.66</v>
      </c>
      <c r="D58" s="49">
        <f>IF(($E52&gt;0),D52,D51)</f>
        <v>0</v>
      </c>
      <c r="E58" s="56">
        <f>MAX(C58:D58)</f>
        <v>0.66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10.214</v>
      </c>
      <c r="D60" s="56">
        <f>D54</f>
        <v>0</v>
      </c>
      <c r="E60" s="56">
        <f>MAX(C60:D60)</f>
        <v>10.214</v>
      </c>
      <c r="G60" s="1" t="str">
        <f>G54</f>
        <v>per 1000 youth</v>
      </c>
      <c r="L60" s="58">
        <f>L54</f>
        <v>1000</v>
      </c>
      <c r="M60" s="58"/>
    </row>
    <row r="61" spans="2:18" ht="15" hidden="1" customHeight="1">
      <c r="B61" s="49" t="str">
        <f t="shared" ref="B61:D62" si="11">IF(($E55&gt;0),B55,B54)</f>
        <v>per 100 arrests</v>
      </c>
      <c r="C61" s="49">
        <f t="shared" si="11"/>
        <v>0.62</v>
      </c>
      <c r="D61" s="49">
        <f t="shared" si="11"/>
        <v>0</v>
      </c>
      <c r="E61" s="49">
        <f>MAX(C61:D61)</f>
        <v>0.62</v>
      </c>
      <c r="G61" s="1" t="str">
        <f>G55</f>
        <v>per 100 arrests</v>
      </c>
      <c r="L61" s="58">
        <f>IF(($E55&gt;0),L55,L54)</f>
        <v>100</v>
      </c>
      <c r="M61" s="58"/>
    </row>
    <row r="62" spans="2:18" ht="15" hidden="1" customHeight="1">
      <c r="B62" s="49" t="str">
        <f t="shared" si="11"/>
        <v>per 100 referrals</v>
      </c>
      <c r="C62" s="49">
        <f t="shared" si="11"/>
        <v>2.87</v>
      </c>
      <c r="D62" s="49">
        <f t="shared" si="11"/>
        <v>0</v>
      </c>
      <c r="E62" s="49">
        <f>MAX(C62:D62)</f>
        <v>2.87</v>
      </c>
      <c r="G62" s="1" t="str">
        <f>G56</f>
        <v>per 100 referrals</v>
      </c>
      <c r="L62" s="58">
        <f>IF(($E56&gt;0),L56,L55)</f>
        <v>100</v>
      </c>
      <c r="M62" s="58"/>
    </row>
    <row r="63" spans="2:18" ht="15" hidden="1" customHeight="1">
      <c r="B63" s="49" t="str">
        <f>IF(($E57&gt;0),B57,B55)</f>
        <v>per 100 youth petitioned</v>
      </c>
      <c r="C63" s="49">
        <f>IF(($E57&gt;0),C57,C56)</f>
        <v>1.33</v>
      </c>
      <c r="D63" s="49">
        <f>IF(($E57&gt;0),D57,D56)</f>
        <v>0</v>
      </c>
      <c r="E63" s="49">
        <f>MAX(C63:D63)</f>
        <v>1.33</v>
      </c>
      <c r="G63" s="1" t="str">
        <f>G57</f>
        <v>per 100 youth petitioned</v>
      </c>
      <c r="L63" s="58">
        <f>IF(($E57&gt;0),L57,L56)</f>
        <v>100</v>
      </c>
      <c r="M63" s="58"/>
    </row>
    <row r="64" spans="2:18" ht="15" hidden="1" customHeight="1">
      <c r="B64" s="49" t="str">
        <f>IF(($E58&gt;0),B58,B57)</f>
        <v>per 100 youth found delinquent</v>
      </c>
      <c r="C64" s="49">
        <f>IF(($E58&gt;0),C58,C57)</f>
        <v>0.66</v>
      </c>
      <c r="D64" s="49">
        <f>IF(($E58&gt;0),D58,D57)</f>
        <v>0</v>
      </c>
      <c r="E64" s="56">
        <f>MAX(C64:D64)</f>
        <v>0.66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10.214</v>
      </c>
      <c r="D66" s="56">
        <f>D60</f>
        <v>0</v>
      </c>
      <c r="E66" s="56">
        <f>MAX(C66:D66)</f>
        <v>10.214</v>
      </c>
      <c r="G66" s="1" t="str">
        <f>G60</f>
        <v>per 1000 youth</v>
      </c>
      <c r="L66" s="58">
        <f>L60</f>
        <v>1000</v>
      </c>
      <c r="M66" s="58">
        <f>IF((B66=G66),1,2)</f>
        <v>1</v>
      </c>
    </row>
    <row r="67" spans="2:13" ht="15" hidden="1" customHeight="1">
      <c r="B67" s="49" t="str">
        <f t="shared" ref="B67:D68" si="12">IF(($E61&gt;0),B61,B60)</f>
        <v>per 100 arrests</v>
      </c>
      <c r="C67" s="49">
        <f t="shared" si="12"/>
        <v>0.62</v>
      </c>
      <c r="D67" s="49">
        <f t="shared" si="12"/>
        <v>0</v>
      </c>
      <c r="E67" s="49">
        <f>MAX(C67:D67)</f>
        <v>0.62</v>
      </c>
      <c r="G67" s="1" t="str">
        <f>G61</f>
        <v>per 100 arrests</v>
      </c>
      <c r="L67" s="58">
        <f>IF(($E61&gt;0),L61,L60)</f>
        <v>100</v>
      </c>
      <c r="M67" s="58">
        <f>IF((B67=G67),1,2)</f>
        <v>1</v>
      </c>
    </row>
    <row r="68" spans="2:13" ht="15" hidden="1" customHeight="1">
      <c r="B68" s="49" t="str">
        <f t="shared" si="12"/>
        <v>per 100 referrals</v>
      </c>
      <c r="C68" s="49">
        <f t="shared" si="12"/>
        <v>2.87</v>
      </c>
      <c r="D68" s="49">
        <f t="shared" si="12"/>
        <v>0</v>
      </c>
      <c r="E68" s="49">
        <f>MAX(C68:D68)</f>
        <v>2.87</v>
      </c>
      <c r="G68" s="1" t="str">
        <f>G62</f>
        <v>per 100 referrals</v>
      </c>
      <c r="L68" s="58">
        <f>IF(($E62&gt;0),L62,L61)</f>
        <v>100</v>
      </c>
      <c r="M68" s="58">
        <f>IF((B68=G68),1,2)</f>
        <v>1</v>
      </c>
    </row>
    <row r="69" spans="2:13" ht="15" hidden="1" customHeight="1">
      <c r="B69" s="49" t="str">
        <f>IF(($E63&gt;0),B63,B61)</f>
        <v>per 100 youth petitioned</v>
      </c>
      <c r="C69" s="49">
        <f>IF(($E63&gt;0),C63,C62)</f>
        <v>1.33</v>
      </c>
      <c r="D69" s="49">
        <f>IF(($E63&gt;0),D63,D62)</f>
        <v>0</v>
      </c>
      <c r="E69" s="49">
        <f>MAX(C69:D69)</f>
        <v>1.33</v>
      </c>
      <c r="G69" s="1" t="str">
        <f>G63</f>
        <v>per 100 youth petitioned</v>
      </c>
      <c r="L69" s="58">
        <f>IF(($E63&gt;0),L63,L62)</f>
        <v>100</v>
      </c>
      <c r="M69" s="58">
        <f>IF((B69=G69),1,2)</f>
        <v>1</v>
      </c>
    </row>
    <row r="70" spans="2:13" ht="15" hidden="1" customHeight="1">
      <c r="B70" s="49" t="str">
        <f>IF(($E64&gt;0),B64,B63)</f>
        <v>per 100 youth found delinquent</v>
      </c>
      <c r="C70" s="49">
        <f>IF(($E64&gt;0),C64,C63)</f>
        <v>0.66</v>
      </c>
      <c r="D70" s="49">
        <f>IF(($E64&gt;0),D64,D63)</f>
        <v>0</v>
      </c>
      <c r="E70" s="56">
        <f>MAX(C70:D70)</f>
        <v>0.66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Berrien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10214</v>
      </c>
      <c r="D6" s="34"/>
      <c r="E6" s="33">
        <f>'Data Entry'!H6</f>
        <v>117</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62</v>
      </c>
      <c r="D7" s="34">
        <f>IF((AND(C66&gt;0,C7&gt;0)),(C7/C66),0)</f>
        <v>6.0700998629332288</v>
      </c>
      <c r="E7" s="33">
        <f>'Data Entry'!H7</f>
        <v>3</v>
      </c>
      <c r="F7" s="34">
        <f>IF((AND($E$7&gt;0,$D$66&gt;0)),($E$7/$D$66),0)</f>
        <v>25.641025641025639</v>
      </c>
      <c r="G7" s="39" t="str">
        <f t="shared" ref="G7:G15" si="0">IF(L$6=100,"*",IF(M7=FALSE,"--",IF(K7=20,"**",($F7/$D7))))</f>
        <v>*</v>
      </c>
      <c r="H7" s="40"/>
      <c r="I7" s="41"/>
      <c r="J7" s="40">
        <f>IF((ABS($U7)&gt;Defaults!D$7),1,2)</f>
        <v>1</v>
      </c>
      <c r="K7" s="39">
        <f>IF((AND(N7&gt;Defaults!B$12,(N7+O7)&gt;Defaults!B$13, P7 &gt; Defaults!B$12, (P7+Q7) &gt; Defaults!B$13)),1,20)</f>
        <v>20</v>
      </c>
      <c r="L7" s="1">
        <f t="shared" ref="L7:L15" si="1">(J7*K7+L$6)-1</f>
        <v>119</v>
      </c>
      <c r="M7" s="1" t="b">
        <f t="shared" ref="M7:M15" si="2">(ISNUMBER(J7))</f>
        <v>1</v>
      </c>
      <c r="N7" s="42">
        <f t="shared" ref="N7:N15" si="3">E7</f>
        <v>3</v>
      </c>
      <c r="O7" s="42">
        <f>E6-E7</f>
        <v>114</v>
      </c>
      <c r="P7" s="42">
        <f t="shared" ref="P7:P15" si="4">C7</f>
        <v>62</v>
      </c>
      <c r="Q7" s="42">
        <f>C6-C7</f>
        <v>10152</v>
      </c>
      <c r="R7" s="42">
        <f t="shared" ref="R7:R15" si="5">SUM(N7:Q7)</f>
        <v>10331</v>
      </c>
      <c r="S7" s="30">
        <f t="shared" ref="S7:S15" si="6">R7*((((N7*Q7)-(O7*P7))^2))</f>
        <v>5651041958064</v>
      </c>
      <c r="T7" s="30">
        <f t="shared" ref="T7:T15" si="7">(N7+O7)*(P7+Q7)*(N7+P7)*(O7+Q7)</f>
        <v>797436907020</v>
      </c>
      <c r="U7" s="31">
        <f t="shared" ref="U7:U15" si="8">IF((S7&gt;0),S7/T7,"- -")</f>
        <v>7.0865066669434578</v>
      </c>
    </row>
    <row r="8" spans="2:21" ht="18" customHeight="1">
      <c r="B8" s="32" t="str">
        <f>'Data Entry'!A8</f>
        <v>3. Refer to Juvenile Court</v>
      </c>
      <c r="C8" s="33">
        <f>'Data Entry'!C8</f>
        <v>287</v>
      </c>
      <c r="D8" s="34">
        <f>IF((AND(C67&gt;0,C8&gt;0)),(C8/C67),0)</f>
        <v>462.90322580645164</v>
      </c>
      <c r="E8" s="33">
        <f>'Data Entry'!H8</f>
        <v>0</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0</v>
      </c>
      <c r="O8" s="42">
        <f>((D67*L67)-E8)+0.05</f>
        <v>3.05</v>
      </c>
      <c r="P8" s="42">
        <f t="shared" si="4"/>
        <v>287</v>
      </c>
      <c r="Q8" s="42">
        <f>(C$67*L67)-C8</f>
        <v>-225</v>
      </c>
      <c r="R8" s="42">
        <f t="shared" si="5"/>
        <v>65.050000000000011</v>
      </c>
      <c r="S8" s="30">
        <f t="shared" si="6"/>
        <v>49843757.343624994</v>
      </c>
      <c r="T8" s="30">
        <f t="shared" si="7"/>
        <v>-12045603.814999999</v>
      </c>
      <c r="U8" s="31">
        <f t="shared" si="8"/>
        <v>-4.1379210298744988</v>
      </c>
    </row>
    <row r="9" spans="2:21" ht="18" customHeight="1">
      <c r="B9" s="32" t="str">
        <f>'Data Entry'!A9</f>
        <v xml:space="preserve">4. Cases Diverted </v>
      </c>
      <c r="C9" s="33">
        <f>'Data Entry'!C9</f>
        <v>152</v>
      </c>
      <c r="D9" s="34">
        <f>IF((AND(C68&gt;0,C9&gt;0)),((C9/C68)),0)</f>
        <v>52.961672473867594</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152</v>
      </c>
      <c r="Q9" s="42">
        <f>(C$68*L68)-C9</f>
        <v>135</v>
      </c>
      <c r="R9" s="42">
        <f t="shared" si="5"/>
        <v>287</v>
      </c>
      <c r="S9" s="30">
        <f t="shared" si="6"/>
        <v>0</v>
      </c>
      <c r="T9" s="30">
        <f t="shared" si="7"/>
        <v>0</v>
      </c>
      <c r="U9" s="31" t="str">
        <f t="shared" si="8"/>
        <v>- -</v>
      </c>
    </row>
    <row r="10" spans="2:21" ht="18" customHeight="1">
      <c r="B10" s="32" t="str">
        <f>'Data Entry'!A10</f>
        <v>5. Cases Involving Secure Detention</v>
      </c>
      <c r="C10" s="33">
        <f>'Data Entry'!C10</f>
        <v>12</v>
      </c>
      <c r="D10" s="34">
        <f>IF(((AND(C68&gt;0,C10&gt;0))),(C10/(C68)),0)</f>
        <v>4.1811846689895473</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12</v>
      </c>
      <c r="Q10" s="42">
        <f>(C$68*L68)-C10</f>
        <v>275</v>
      </c>
      <c r="R10" s="42">
        <f t="shared" si="5"/>
        <v>287</v>
      </c>
      <c r="S10" s="30">
        <f t="shared" si="6"/>
        <v>0</v>
      </c>
      <c r="T10" s="30">
        <f t="shared" si="7"/>
        <v>0</v>
      </c>
      <c r="U10" s="31" t="str">
        <f t="shared" si="8"/>
        <v>- -</v>
      </c>
    </row>
    <row r="11" spans="2:21" ht="18" customHeight="1">
      <c r="B11" s="32" t="str">
        <f>'Data Entry'!A11</f>
        <v>6. Cases Petitioned (Charge Filed)</v>
      </c>
      <c r="C11" s="33">
        <f>'Data Entry'!C11</f>
        <v>133</v>
      </c>
      <c r="D11" s="34">
        <f>IF(((AND(C68&gt;0,C11&gt;0))),(C11/(C68)),0)</f>
        <v>46.341463414634141</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133</v>
      </c>
      <c r="Q11" s="42">
        <f>(C$68*L68)-C11</f>
        <v>154</v>
      </c>
      <c r="R11" s="42">
        <f t="shared" si="5"/>
        <v>287</v>
      </c>
      <c r="S11" s="30">
        <f t="shared" si="6"/>
        <v>0</v>
      </c>
      <c r="T11" s="30">
        <f t="shared" si="7"/>
        <v>0</v>
      </c>
      <c r="U11" s="31" t="str">
        <f t="shared" si="8"/>
        <v>- -</v>
      </c>
    </row>
    <row r="12" spans="2:21" ht="18" customHeight="1">
      <c r="B12" s="32" t="str">
        <f>'Data Entry'!A12</f>
        <v>7. Cases Resulting in Delinquent Findings</v>
      </c>
      <c r="C12" s="33">
        <f>'Data Entry'!C12</f>
        <v>66</v>
      </c>
      <c r="D12" s="34">
        <f>IF(((AND(C69&gt;0,C12&gt;0))),(C12/(C69)),0)</f>
        <v>49.624060150375939</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66</v>
      </c>
      <c r="Q12" s="42">
        <f>(C69*L69)-C12</f>
        <v>67</v>
      </c>
      <c r="R12" s="42">
        <f t="shared" si="5"/>
        <v>133</v>
      </c>
      <c r="S12" s="30">
        <f t="shared" si="6"/>
        <v>0</v>
      </c>
      <c r="T12" s="30">
        <f t="shared" si="7"/>
        <v>0</v>
      </c>
      <c r="U12" s="31" t="str">
        <f t="shared" si="8"/>
        <v>- -</v>
      </c>
    </row>
    <row r="13" spans="2:21" ht="18" customHeight="1">
      <c r="B13" s="32" t="str">
        <f>'Data Entry'!A13</f>
        <v>8. Cases Resulting in Probation Placement</v>
      </c>
      <c r="C13" s="33">
        <f>'Data Entry'!C13</f>
        <v>52</v>
      </c>
      <c r="D13" s="34">
        <f>IF(((AND(C70&gt;0,C13&gt;0))),(C13/(C70)),0)</f>
        <v>78.787878787878782</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52</v>
      </c>
      <c r="Q13" s="42">
        <f>(C70*L70)-C13</f>
        <v>14</v>
      </c>
      <c r="R13" s="42">
        <f t="shared" si="5"/>
        <v>66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7.5757575757575752</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61</v>
      </c>
      <c r="R14" s="42">
        <f t="shared" si="5"/>
        <v>66</v>
      </c>
      <c r="S14" s="30">
        <f t="shared" si="6"/>
        <v>0</v>
      </c>
      <c r="T14" s="30">
        <f t="shared" si="7"/>
        <v>0</v>
      </c>
      <c r="U14" s="31" t="str">
        <f t="shared" si="8"/>
        <v>- -</v>
      </c>
    </row>
    <row r="15" spans="2:21" ht="15.75" customHeight="1">
      <c r="B15" s="32" t="str">
        <f>'Data Entry'!A15</f>
        <v xml:space="preserve">10. Cases Transferred to Adult Court </v>
      </c>
      <c r="C15" s="33">
        <f>'Data Entry'!C15</f>
        <v>5</v>
      </c>
      <c r="D15" s="34">
        <f>IF(((AND(C69&gt;0,C15&gt;0))),((C15/(C69))),0)</f>
        <v>3.7593984962406015</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5</v>
      </c>
      <c r="Q15" s="42">
        <f>(C69*L69)-C15</f>
        <v>128</v>
      </c>
      <c r="R15" s="42">
        <f t="shared" si="5"/>
        <v>133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10.214</v>
      </c>
      <c r="D42" s="56">
        <f>E6/1000</f>
        <v>0.11700000000000001</v>
      </c>
      <c r="E42" s="56">
        <f>MAX(C42:D42)</f>
        <v>10.214</v>
      </c>
      <c r="G42" s="1" t="str">
        <f>B42</f>
        <v>per 1000 youth</v>
      </c>
      <c r="L42" s="57">
        <v>1000</v>
      </c>
      <c r="M42" s="57"/>
      <c r="R42" s="49"/>
    </row>
    <row r="43" spans="2:18" ht="15" hidden="1" customHeight="1">
      <c r="B43" s="49" t="s">
        <v>87</v>
      </c>
      <c r="C43" s="56">
        <f>C7/100</f>
        <v>0.62</v>
      </c>
      <c r="D43" s="56">
        <f>E7/100</f>
        <v>0.03</v>
      </c>
      <c r="E43" s="56">
        <f>MAX(C43:D43,0)</f>
        <v>0.62</v>
      </c>
      <c r="G43" s="1" t="str">
        <f>B43</f>
        <v>per 100 arrests</v>
      </c>
      <c r="L43" s="57">
        <v>100</v>
      </c>
      <c r="M43" s="57"/>
      <c r="R43" s="49"/>
    </row>
    <row r="44" spans="2:18" ht="15" hidden="1" customHeight="1">
      <c r="B44" s="49" t="s">
        <v>88</v>
      </c>
      <c r="C44" s="56">
        <f>C8/100</f>
        <v>2.87</v>
      </c>
      <c r="D44" s="56">
        <f>E8/100</f>
        <v>0</v>
      </c>
      <c r="E44" s="56">
        <f>MAX(C44:D44,0)</f>
        <v>2.87</v>
      </c>
      <c r="G44" s="1" t="str">
        <f>B44</f>
        <v>per 100 referrals</v>
      </c>
      <c r="L44" s="57">
        <v>100</v>
      </c>
      <c r="M44" s="57"/>
      <c r="R44" s="49"/>
    </row>
    <row r="45" spans="2:18" ht="15" hidden="1" customHeight="1">
      <c r="B45" s="49" t="s">
        <v>89</v>
      </c>
      <c r="C45" s="49">
        <f>C11/100</f>
        <v>1.33</v>
      </c>
      <c r="D45" s="49">
        <f>E11/100</f>
        <v>0</v>
      </c>
      <c r="E45" s="56">
        <f>MAX(C45:D45,0)</f>
        <v>1.33</v>
      </c>
      <c r="G45" s="1" t="str">
        <f>B45</f>
        <v>per 100 youth petitioned</v>
      </c>
      <c r="L45" s="57">
        <v>100</v>
      </c>
      <c r="M45" s="57"/>
      <c r="R45" s="49"/>
    </row>
    <row r="46" spans="2:18" ht="15" hidden="1" customHeight="1">
      <c r="B46" s="49" t="s">
        <v>90</v>
      </c>
      <c r="C46" s="49">
        <f>C12/100</f>
        <v>0.66</v>
      </c>
      <c r="D46" s="49">
        <f>E12/100</f>
        <v>0</v>
      </c>
      <c r="E46" s="56">
        <f>MAX(C46:D46)</f>
        <v>0.66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10.214</v>
      </c>
      <c r="D48" s="56">
        <f>D42</f>
        <v>0.11700000000000001</v>
      </c>
      <c r="E48" s="56">
        <f>MAX(C48:D48)</f>
        <v>10.214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0.62</v>
      </c>
      <c r="D49" s="49">
        <f t="shared" si="9"/>
        <v>0.03</v>
      </c>
      <c r="E49" s="49">
        <f>MAX(C49:D49)</f>
        <v>0.62</v>
      </c>
      <c r="G49" s="1" t="str">
        <f>G43</f>
        <v>per 100 arrests</v>
      </c>
      <c r="L49" s="58">
        <f>IF(($E43&gt;0),L43,L42)</f>
        <v>100</v>
      </c>
      <c r="M49" s="58"/>
      <c r="N49" s="21"/>
      <c r="O49" s="21"/>
      <c r="P49" s="21"/>
      <c r="Q49" s="21"/>
      <c r="R49" s="21"/>
    </row>
    <row r="50" spans="2:18" ht="15" hidden="1" customHeight="1">
      <c r="B50" s="49" t="str">
        <f t="shared" si="9"/>
        <v>per 100 referrals</v>
      </c>
      <c r="C50" s="49">
        <f t="shared" si="9"/>
        <v>2.87</v>
      </c>
      <c r="D50" s="49">
        <f t="shared" si="9"/>
        <v>0</v>
      </c>
      <c r="E50" s="49">
        <f>MAX(C50:D50)</f>
        <v>2.87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1.33</v>
      </c>
      <c r="D51" s="49">
        <f>IF(($E45&gt;0),D45,D44)</f>
        <v>0</v>
      </c>
      <c r="E51" s="49">
        <f>MAX(C51:D51)</f>
        <v>1.33</v>
      </c>
      <c r="G51" s="1" t="str">
        <f>G45</f>
        <v>per 100 youth petitioned</v>
      </c>
      <c r="L51" s="58">
        <f>IF(($E45&gt;0),L45,L44)</f>
        <v>100</v>
      </c>
      <c r="M51" s="58"/>
    </row>
    <row r="52" spans="2:18" ht="15" hidden="1" customHeight="1">
      <c r="B52" s="49" t="str">
        <f>IF(($E46&gt;0),B46,B45)</f>
        <v>per 100 youth found delinquent</v>
      </c>
      <c r="C52" s="49">
        <f>IF(($E46&gt;0),C46,C45)</f>
        <v>0.66</v>
      </c>
      <c r="D52" s="49">
        <f>IF(($E46&gt;0),D46,D45)</f>
        <v>0</v>
      </c>
      <c r="E52" s="56">
        <f>MAX(C52:D52)</f>
        <v>0.66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10.214</v>
      </c>
      <c r="D54" s="56">
        <f>D48</f>
        <v>0.11700000000000001</v>
      </c>
      <c r="E54" s="56">
        <f>MAX(C54:D54)</f>
        <v>10.214</v>
      </c>
      <c r="G54" s="1" t="str">
        <f>G48</f>
        <v>per 1000 youth</v>
      </c>
      <c r="L54" s="58">
        <f>L48</f>
        <v>1000</v>
      </c>
      <c r="M54" s="58"/>
    </row>
    <row r="55" spans="2:18" ht="15" hidden="1" customHeight="1">
      <c r="B55" s="49" t="str">
        <f t="shared" ref="B55:D56" si="10">IF(($E49&gt;0),B49,B48)</f>
        <v>per 100 arrests</v>
      </c>
      <c r="C55" s="49">
        <f t="shared" si="10"/>
        <v>0.62</v>
      </c>
      <c r="D55" s="49">
        <f t="shared" si="10"/>
        <v>0.03</v>
      </c>
      <c r="E55" s="49">
        <f>MAX(C55:D55)</f>
        <v>0.62</v>
      </c>
      <c r="G55" s="1" t="str">
        <f>G49</f>
        <v>per 100 arrests</v>
      </c>
      <c r="L55" s="58">
        <f>IF(($E49&gt;0),L49,L48)</f>
        <v>100</v>
      </c>
      <c r="M55" s="58"/>
    </row>
    <row r="56" spans="2:18" ht="15" hidden="1" customHeight="1">
      <c r="B56" s="49" t="str">
        <f t="shared" si="10"/>
        <v>per 100 referrals</v>
      </c>
      <c r="C56" s="49">
        <f t="shared" si="10"/>
        <v>2.87</v>
      </c>
      <c r="D56" s="49">
        <f t="shared" si="10"/>
        <v>0</v>
      </c>
      <c r="E56" s="49">
        <f>MAX(C56:D56)</f>
        <v>2.87</v>
      </c>
      <c r="G56" s="1" t="str">
        <f>G50</f>
        <v>per 100 referrals</v>
      </c>
      <c r="L56" s="58">
        <f>IF(($E50&gt;0),L50,L49)</f>
        <v>100</v>
      </c>
      <c r="M56" s="58"/>
    </row>
    <row r="57" spans="2:18" ht="15" hidden="1" customHeight="1">
      <c r="B57" s="49" t="str">
        <f>IF(($E51&gt;0),B51,B49)</f>
        <v>per 100 youth petitioned</v>
      </c>
      <c r="C57" s="49">
        <f>IF(($E51&gt;0),C51,C50)</f>
        <v>1.33</v>
      </c>
      <c r="D57" s="49">
        <f>IF(($E51&gt;0),D51,D50)</f>
        <v>0</v>
      </c>
      <c r="E57" s="49">
        <f>MAX(C57:D57)</f>
        <v>1.33</v>
      </c>
      <c r="G57" s="1" t="str">
        <f>G51</f>
        <v>per 100 youth petitioned</v>
      </c>
      <c r="L57" s="58">
        <f>IF(($E51&gt;0),L51,L50)</f>
        <v>100</v>
      </c>
      <c r="M57" s="58"/>
    </row>
    <row r="58" spans="2:18" ht="15" hidden="1" customHeight="1">
      <c r="B58" s="49" t="str">
        <f>IF(($E52&gt;0),B52,B51)</f>
        <v>per 100 youth found delinquent</v>
      </c>
      <c r="C58" s="49">
        <f>IF(($E52&gt;0),C52,C51)</f>
        <v>0.66</v>
      </c>
      <c r="D58" s="49">
        <f>IF(($E52&gt;0),D52,D51)</f>
        <v>0</v>
      </c>
      <c r="E58" s="56">
        <f>MAX(C58:D58)</f>
        <v>0.66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10.214</v>
      </c>
      <c r="D60" s="56">
        <f>D54</f>
        <v>0.11700000000000001</v>
      </c>
      <c r="E60" s="56">
        <f>MAX(C60:D60)</f>
        <v>10.214</v>
      </c>
      <c r="G60" s="1" t="str">
        <f>G54</f>
        <v>per 1000 youth</v>
      </c>
      <c r="L60" s="58">
        <f>L54</f>
        <v>1000</v>
      </c>
      <c r="M60" s="58"/>
    </row>
    <row r="61" spans="2:18" ht="15" hidden="1" customHeight="1">
      <c r="B61" s="49" t="str">
        <f t="shared" ref="B61:D62" si="11">IF(($E55&gt;0),B55,B54)</f>
        <v>per 100 arrests</v>
      </c>
      <c r="C61" s="49">
        <f t="shared" si="11"/>
        <v>0.62</v>
      </c>
      <c r="D61" s="49">
        <f t="shared" si="11"/>
        <v>0.03</v>
      </c>
      <c r="E61" s="49">
        <f>MAX(C61:D61)</f>
        <v>0.62</v>
      </c>
      <c r="G61" s="1" t="str">
        <f>G55</f>
        <v>per 100 arrests</v>
      </c>
      <c r="L61" s="58">
        <f>IF(($E55&gt;0),L55,L54)</f>
        <v>100</v>
      </c>
      <c r="M61" s="58"/>
    </row>
    <row r="62" spans="2:18" ht="15" hidden="1" customHeight="1">
      <c r="B62" s="49" t="str">
        <f t="shared" si="11"/>
        <v>per 100 referrals</v>
      </c>
      <c r="C62" s="49">
        <f t="shared" si="11"/>
        <v>2.87</v>
      </c>
      <c r="D62" s="49">
        <f t="shared" si="11"/>
        <v>0</v>
      </c>
      <c r="E62" s="49">
        <f>MAX(C62:D62)</f>
        <v>2.87</v>
      </c>
      <c r="G62" s="1" t="str">
        <f>G56</f>
        <v>per 100 referrals</v>
      </c>
      <c r="L62" s="58">
        <f>IF(($E56&gt;0),L56,L55)</f>
        <v>100</v>
      </c>
      <c r="M62" s="58"/>
    </row>
    <row r="63" spans="2:18" ht="15" hidden="1" customHeight="1">
      <c r="B63" s="49" t="str">
        <f>IF(($E57&gt;0),B57,B55)</f>
        <v>per 100 youth petitioned</v>
      </c>
      <c r="C63" s="49">
        <f>IF(($E57&gt;0),C57,C56)</f>
        <v>1.33</v>
      </c>
      <c r="D63" s="49">
        <f>IF(($E57&gt;0),D57,D56)</f>
        <v>0</v>
      </c>
      <c r="E63" s="49">
        <f>MAX(C63:D63)</f>
        <v>1.33</v>
      </c>
      <c r="G63" s="1" t="str">
        <f>G57</f>
        <v>per 100 youth petitioned</v>
      </c>
      <c r="L63" s="58">
        <f>IF(($E57&gt;0),L57,L56)</f>
        <v>100</v>
      </c>
      <c r="M63" s="58"/>
    </row>
    <row r="64" spans="2:18" ht="15" hidden="1" customHeight="1">
      <c r="B64" s="49" t="str">
        <f>IF(($E58&gt;0),B58,B57)</f>
        <v>per 100 youth found delinquent</v>
      </c>
      <c r="C64" s="49">
        <f>IF(($E58&gt;0),C58,C57)</f>
        <v>0.66</v>
      </c>
      <c r="D64" s="49">
        <f>IF(($E58&gt;0),D58,D57)</f>
        <v>0</v>
      </c>
      <c r="E64" s="56">
        <f>MAX(C64:D64)</f>
        <v>0.66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10.214</v>
      </c>
      <c r="D66" s="56">
        <f>D60</f>
        <v>0.11700000000000001</v>
      </c>
      <c r="E66" s="56">
        <f>MAX(C66:D66)</f>
        <v>10.214</v>
      </c>
      <c r="G66" s="1" t="str">
        <f>G60</f>
        <v>per 1000 youth</v>
      </c>
      <c r="L66" s="58">
        <f>L60</f>
        <v>1000</v>
      </c>
      <c r="M66" s="58">
        <f>IF((B66=G66),1,2)</f>
        <v>1</v>
      </c>
    </row>
    <row r="67" spans="2:13" ht="15" hidden="1" customHeight="1">
      <c r="B67" s="49" t="str">
        <f t="shared" ref="B67:D68" si="12">IF(($E61&gt;0),B61,B60)</f>
        <v>per 100 arrests</v>
      </c>
      <c r="C67" s="49">
        <f t="shared" si="12"/>
        <v>0.62</v>
      </c>
      <c r="D67" s="49">
        <f t="shared" si="12"/>
        <v>0.03</v>
      </c>
      <c r="E67" s="49">
        <f>MAX(C67:D67)</f>
        <v>0.62</v>
      </c>
      <c r="G67" s="1" t="str">
        <f>G61</f>
        <v>per 100 arrests</v>
      </c>
      <c r="L67" s="58">
        <f>IF(($E61&gt;0),L61,L60)</f>
        <v>100</v>
      </c>
      <c r="M67" s="58">
        <f>IF((B67=G67),1,2)</f>
        <v>1</v>
      </c>
    </row>
    <row r="68" spans="2:13" ht="15" hidden="1" customHeight="1">
      <c r="B68" s="49" t="str">
        <f t="shared" si="12"/>
        <v>per 100 referrals</v>
      </c>
      <c r="C68" s="49">
        <f t="shared" si="12"/>
        <v>2.87</v>
      </c>
      <c r="D68" s="49">
        <f t="shared" si="12"/>
        <v>0</v>
      </c>
      <c r="E68" s="49">
        <f>MAX(C68:D68)</f>
        <v>2.87</v>
      </c>
      <c r="G68" s="1" t="str">
        <f>G62</f>
        <v>per 100 referrals</v>
      </c>
      <c r="L68" s="58">
        <f>IF(($E62&gt;0),L62,L61)</f>
        <v>100</v>
      </c>
      <c r="M68" s="58">
        <f>IF((B68=G68),1,2)</f>
        <v>1</v>
      </c>
    </row>
    <row r="69" spans="2:13" ht="15" hidden="1" customHeight="1">
      <c r="B69" s="49" t="str">
        <f>IF(($E63&gt;0),B63,B61)</f>
        <v>per 100 youth petitioned</v>
      </c>
      <c r="C69" s="49">
        <f>IF(($E63&gt;0),C63,C62)</f>
        <v>1.33</v>
      </c>
      <c r="D69" s="49">
        <f>IF(($E63&gt;0),D63,D62)</f>
        <v>0</v>
      </c>
      <c r="E69" s="49">
        <f>MAX(C69:D69)</f>
        <v>1.33</v>
      </c>
      <c r="G69" s="1" t="str">
        <f>G63</f>
        <v>per 100 youth petitioned</v>
      </c>
      <c r="L69" s="58">
        <f>IF(($E63&gt;0),L63,L62)</f>
        <v>100</v>
      </c>
      <c r="M69" s="58">
        <f>IF((B69=G69),1,2)</f>
        <v>1</v>
      </c>
    </row>
    <row r="70" spans="2:13" ht="15" hidden="1" customHeight="1">
      <c r="B70" s="49" t="str">
        <f>IF(($E64&gt;0),B64,B63)</f>
        <v>per 100 youth found delinquent</v>
      </c>
      <c r="C70" s="49">
        <f>IF(($E64&gt;0),C64,C63)</f>
        <v>0.66</v>
      </c>
      <c r="D70" s="49">
        <f>IF(($E64&gt;0),D64,D63)</f>
        <v>0</v>
      </c>
      <c r="E70" s="56">
        <f>MAX(C70:D70)</f>
        <v>0.66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U47JMPN4QEAR-1806752177-30438</_dlc_DocId>
    <_dlc_DocIdUrl xmlns="ac3811b5-0f3e-49e2-ba69-f2ffa0c782af">
      <Url>https://michiganphi.sharepoint.com/sites/CMDMC/_layouts/15/DocIdRedir.aspx?ID=U47JMPN4QEAR-1806752177-30438</Url>
      <Description>U47JMPN4QEAR-1806752177-30438</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9B6ED1E-A65F-4C8C-AFDB-D5AA3AF816C5}"/>
</file>

<file path=customXml/itemProps2.xml><?xml version="1.0" encoding="utf-8"?>
<ds:datastoreItem xmlns:ds="http://schemas.openxmlformats.org/officeDocument/2006/customXml" ds:itemID="{1179E1A2-4460-4BA2-A002-56E8C3475049}">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2F127AEB-C3C4-4478-9A86-34035892AF2A}">
  <ds:schemaRefs>
    <ds:schemaRef ds:uri="http://schemas.microsoft.com/sharepoint/v3/contenttype/forms"/>
  </ds:schemaRefs>
</ds:datastoreItem>
</file>

<file path=customXml/itemProps4.xml><?xml version="1.0" encoding="utf-8"?>
<ds:datastoreItem xmlns:ds="http://schemas.openxmlformats.org/officeDocument/2006/customXml" ds:itemID="{328AB16E-A2CE-478A-B26E-B05426E199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2023-09-01T18:29:51Z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4c631378-6ca7-4ada-9837-fc941381b6d7</vt:lpwstr>
  </property>
</Properties>
</file>