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B303CD35-1318-4239-A922-2FAAFA5034E7}" xr6:coauthVersionLast="47" xr6:coauthVersionMax="47" xr10:uidLastSave="{88857423-EEB8-4A7E-B407-4D98EB40A47D}"/>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8"/>
  <c r="F27" i="8"/>
  <c r="F27" i="2"/>
  <c r="M66" i="2"/>
  <c r="F27" i="5"/>
  <c r="M66" i="5"/>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E43" i="7"/>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49" i="7" l="1"/>
  <c r="L49" i="7"/>
  <c r="D50" i="5"/>
  <c r="E50" i="5" s="1"/>
  <c r="E45" i="2"/>
  <c r="C51" i="2" s="1"/>
  <c r="D52" i="8"/>
  <c r="C52" i="6"/>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E49" i="5"/>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L64" i="5"/>
  <c r="L56" i="8"/>
  <c r="B56" i="8"/>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L70" i="5" s="1"/>
  <c r="F8" i="5"/>
  <c r="C69" i="7" l="1"/>
  <c r="D12" i="7" s="1"/>
  <c r="D63" i="8"/>
  <c r="B70" i="3"/>
  <c r="M70" i="3" s="1"/>
  <c r="L69" i="7"/>
  <c r="Q15" i="7" s="1"/>
  <c r="C70" i="5"/>
  <c r="D13" i="5" s="1"/>
  <c r="B70" i="5"/>
  <c r="F33" i="5" s="1"/>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O13" i="5"/>
  <c r="O14" i="5"/>
  <c r="F35" i="7"/>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D69" i="3"/>
  <c r="E69" i="3" s="1"/>
  <c r="E63" i="8"/>
  <c r="D69" i="8" s="1"/>
  <c r="F15" i="8" s="1"/>
  <c r="B69" i="6"/>
  <c r="M69" i="6" s="1"/>
  <c r="D12" i="3"/>
  <c r="Q13" i="5"/>
  <c r="K13" i="5" s="1"/>
  <c r="E70" i="5"/>
  <c r="Q13" i="8"/>
  <c r="D14" i="5"/>
  <c r="Q14" i="5"/>
  <c r="T14" i="5" s="1"/>
  <c r="M70" i="5"/>
  <c r="L69" i="3"/>
  <c r="Q12" i="3" s="1"/>
  <c r="C69" i="6"/>
  <c r="D12" i="6" s="1"/>
  <c r="F34" i="5"/>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F35" i="6"/>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R13" i="4"/>
  <c r="S13" i="4" s="1"/>
  <c r="U13" i="4" s="1"/>
  <c r="J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D13" i="8"/>
  <c r="K14" i="5"/>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L69" i="8" l="1"/>
  <c r="T13" i="5"/>
  <c r="F32" i="6"/>
  <c r="F15" i="3"/>
  <c r="F12" i="3"/>
  <c r="T12" i="7"/>
  <c r="R13" i="5"/>
  <c r="S13" i="5" s="1"/>
  <c r="U13" i="5" s="1"/>
  <c r="J13" i="5" s="1"/>
  <c r="M13" i="5" s="1"/>
  <c r="F12" i="8"/>
  <c r="O15" i="8"/>
  <c r="R12" i="7"/>
  <c r="S12" i="7" s="1"/>
  <c r="U12" i="7" s="1"/>
  <c r="J12" i="7" s="1"/>
  <c r="K12" i="7"/>
  <c r="U9" i="4"/>
  <c r="J9" i="4" s="1"/>
  <c r="M9" i="4" s="1"/>
  <c r="G9" i="4" s="1"/>
  <c r="G10" i="16" s="1"/>
  <c r="D15" i="6"/>
  <c r="K15" i="7"/>
  <c r="L15" i="7" s="1"/>
  <c r="S16" i="16" s="1"/>
  <c r="R13" i="8"/>
  <c r="S13" i="8" s="1"/>
  <c r="O12" i="3"/>
  <c r="R12" i="3" s="1"/>
  <c r="S12" i="3" s="1"/>
  <c r="U12" i="3" s="1"/>
  <c r="J12" i="3" s="1"/>
  <c r="Q15" i="3"/>
  <c r="R14" i="3"/>
  <c r="S14" i="3" s="1"/>
  <c r="U14" i="3" s="1"/>
  <c r="J14" i="3" s="1"/>
  <c r="M14" i="3" s="1"/>
  <c r="G14" i="3" s="1"/>
  <c r="I15" i="16" s="1"/>
  <c r="K13" i="3"/>
  <c r="O15" i="3"/>
  <c r="Q12" i="6"/>
  <c r="Q15" i="6"/>
  <c r="O15" i="6"/>
  <c r="T14" i="6"/>
  <c r="R13" i="6"/>
  <c r="S13" i="6" s="1"/>
  <c r="U13" i="6" s="1"/>
  <c r="J13" i="6" s="1"/>
  <c r="M13" i="6" s="1"/>
  <c r="K14" i="6"/>
  <c r="R14" i="8"/>
  <c r="S14" i="8" s="1"/>
  <c r="R14" i="6"/>
  <c r="S14" i="6" s="1"/>
  <c r="U14" i="6" s="1"/>
  <c r="J14" i="6" s="1"/>
  <c r="M14" i="6" s="1"/>
  <c r="G14" i="6" s="1"/>
  <c r="M15" i="13"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M12" i="7"/>
  <c r="R13" i="7"/>
  <c r="S13" i="7" s="1"/>
  <c r="U13" i="7" s="1"/>
  <c r="J13" i="7" s="1"/>
  <c r="M13" i="7" s="1"/>
  <c r="Q13" i="2"/>
  <c r="U9" i="3"/>
  <c r="J9" i="3" s="1"/>
  <c r="L9" i="3" s="1"/>
  <c r="N30" i="5"/>
  <c r="L14" i="5"/>
  <c r="Q15" i="16"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2" i="7" l="1"/>
  <c r="S13" i="16" s="1"/>
  <c r="L13" i="5"/>
  <c r="Q14" i="16" s="1"/>
  <c r="R15" i="6"/>
  <c r="S15" i="6" s="1"/>
  <c r="U15" i="6" s="1"/>
  <c r="J15" i="6" s="1"/>
  <c r="K12" i="3"/>
  <c r="L13" i="3"/>
  <c r="P14" i="16" s="1"/>
  <c r="L9" i="4"/>
  <c r="O10" i="16" s="1"/>
  <c r="G10" i="13"/>
  <c r="D9" i="9"/>
  <c r="U13" i="8"/>
  <c r="J13" i="8" s="1"/>
  <c r="M13" i="8" s="1"/>
  <c r="G13" i="8" s="1"/>
  <c r="K14" i="16" s="1"/>
  <c r="K12" i="6"/>
  <c r="K15" i="3"/>
  <c r="L13" i="6"/>
  <c r="R14" i="16" s="1"/>
  <c r="E14" i="9"/>
  <c r="T12" i="3"/>
  <c r="T15" i="3"/>
  <c r="I15" i="13"/>
  <c r="N30" i="3"/>
  <c r="R15" i="3"/>
  <c r="S15" i="3" s="1"/>
  <c r="U15" i="3" s="1"/>
  <c r="J15" i="3" s="1"/>
  <c r="M15" i="3" s="1"/>
  <c r="G15" i="3" s="1"/>
  <c r="I16" i="16" s="1"/>
  <c r="L14" i="3"/>
  <c r="P15" i="16" s="1"/>
  <c r="T15" i="6"/>
  <c r="G13" i="6"/>
  <c r="G13" i="9" s="1"/>
  <c r="R12" i="6"/>
  <c r="S12" i="6" s="1"/>
  <c r="K15" i="6"/>
  <c r="L15" i="6" s="1"/>
  <c r="R16" i="1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N11" i="9"/>
  <c r="T15" i="5"/>
  <c r="W14" i="13"/>
  <c r="M15" i="6"/>
  <c r="G15" i="6" s="1"/>
  <c r="L13" i="7"/>
  <c r="S14" i="16" s="1"/>
  <c r="M9" i="3"/>
  <c r="G9" i="3" s="1"/>
  <c r="I10" i="13" s="1"/>
  <c r="G12" i="13"/>
  <c r="G12" i="16"/>
  <c r="N9" i="9"/>
  <c r="P10" i="16"/>
  <c r="M14" i="7"/>
  <c r="N30" i="7"/>
  <c r="L14" i="7"/>
  <c r="S15" i="16" s="1"/>
  <c r="L8" i="7"/>
  <c r="S9" i="16" s="1"/>
  <c r="O13"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3" i="9" l="1"/>
  <c r="V14" i="13"/>
  <c r="U10" i="13"/>
  <c r="M9" i="9"/>
  <c r="N14" i="9"/>
  <c r="I14" i="13"/>
  <c r="X14" i="13"/>
  <c r="E15" i="9"/>
  <c r="L13" i="8"/>
  <c r="T14" i="16" s="1"/>
  <c r="I16" i="13"/>
  <c r="P13" i="9"/>
  <c r="L15" i="3"/>
  <c r="P16" i="16" s="1"/>
  <c r="V15" i="13"/>
  <c r="Q14" i="13"/>
  <c r="E13" i="9"/>
  <c r="I13" i="9"/>
  <c r="M14" i="13"/>
  <c r="U12" i="6"/>
  <c r="J12" i="6" s="1"/>
  <c r="U12" i="8"/>
  <c r="J12" i="8" s="1"/>
  <c r="L12" i="8" s="1"/>
  <c r="T13" i="16" s="1"/>
  <c r="M14" i="8"/>
  <c r="G14" i="8" s="1"/>
  <c r="K15" i="16" s="1"/>
  <c r="L14" i="8"/>
  <c r="T15" i="16" s="1"/>
  <c r="L8" i="6"/>
  <c r="R9" i="16" s="1"/>
  <c r="L10" i="7"/>
  <c r="S11" i="16" s="1"/>
  <c r="X16" i="13"/>
  <c r="P15" i="9"/>
  <c r="L15" i="5"/>
  <c r="Q16" i="16" s="1"/>
  <c r="T9" i="13"/>
  <c r="L8" i="9"/>
  <c r="X15" i="13"/>
  <c r="P14" i="9"/>
  <c r="G8" i="9"/>
  <c r="Q14" i="9"/>
  <c r="Y15" i="13"/>
  <c r="Y14" i="13"/>
  <c r="E9" i="13"/>
  <c r="Q13" i="9"/>
  <c r="L10" i="2"/>
  <c r="N11" i="16" s="1"/>
  <c r="M10" i="7"/>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M12" i="8"/>
  <c r="G12" i="8" s="1"/>
  <c r="K13" i="16" s="1"/>
  <c r="Z14" i="13"/>
  <c r="N15" i="9"/>
  <c r="V16" i="13"/>
  <c r="M12" i="6"/>
  <c r="G12" i="6" s="1"/>
  <c r="L12" i="6"/>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R13" i="16"/>
  <c r="X13" i="13"/>
  <c r="P12" i="9"/>
  <c r="G12" i="9"/>
  <c r="M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<sst xmlns="http://schemas.openxmlformats.org/spreadsheetml/2006/main" count="654" uniqueCount="141">
  <si>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</si>
  <si>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</si>
  <si>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</si>
  <si>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</si>
  <si>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</si>
  <si>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</si>
  <si>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</si>
  <si>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</si>
  <si>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</si>
  <si>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</si>
  <si>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</si>
  <si>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</si>
  <si>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</si>
  <si>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</si>
  <si>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</si>
  <si>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</si>
  <si>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</si>
  <si>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</si>
  <si>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</si>
  <si>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</si>
  <si>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</si>
  <si>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</si>
  <si>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</si>
  <si>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</si>
  <si>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</si>
  <si>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</si>
  <si>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</si>
  <si>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</si>
  <si>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</si>
  <si>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</si>
  <si>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</si>
  <si>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</si>
  <si>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</si>
  <si>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</si>
  <si>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</si>
  <si>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</si>
  <si>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</si>
  <si>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</si>
  <si>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</si>
  <si>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</si>
  <si>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</si>
  <si>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</si>
  <si>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</si>
  <si>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</si>
  <si>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</si>
  <si>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</si>
  <si>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</si>
  <si>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</si>
  <si>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</si>
  <si>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</si>
  <si>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</si>
  <si>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</si>
  <si>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</si>
  <si>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</si>
  <si>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</si>
  <si>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</si>
  <si>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</si>
  <si>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</si>
  <si>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</si>
  <si>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</si>
  <si>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</si>
  <si>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</si>
  <si>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</si>
  <si>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</si>
  <si>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</si>
  <si>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</si>
  <si>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</si>
  <si>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</si>
  <si>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</si>
  <si>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</si>
  <si>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</si>
  <si>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</si>
  <si>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</si>
  <si>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</si>
  <si>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</si>
  <si>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</si>
  <si>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</si>
  <si>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</si>
  <si>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</si>
  <si>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</si>
  <si>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</si>
  <si>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</si>
  <si>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</si>
  <si>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</si>
  <si>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</si>
  <si>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</si>
  <si>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</si>
  <si>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</si>
  <si>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</si>
  <si>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</si>
  <si>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</si>
  <si>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</si>
  <si>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</si>
  <si>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</si>
  <si>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</si>
  <si>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</si>
  <si>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</si>
  <si>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</si>
  <si>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</si>
  <si>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</si>
  <si>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</si>
  <si>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</si>
  <si>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</si>
  <si>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</si>
  <si>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</si>
  <si>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</si>
  <si>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</si>
  <si>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</si>
  <si>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</si>
  <si>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</si>
  <si>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</si>
  <si>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</si>
  <si>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</si>
  <si>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</si>
  <si>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</si>
  <si>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</si>
  <si>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</si>
  <si>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</si>
  <si>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</si>
  <si>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</si>
  <si>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</si>
  <si>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</si>
  <si>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</si>
  <si>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</si>
  <si>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</si>
  <si>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</si>
  <si>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</si>
  <si>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</si>
  <si>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</si>
  <si>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</si>
  <si>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</si>
  <si>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</si>
  <si>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</si>
  <si>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</si>
  <si>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</si>
  <si>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</si>
  <si>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Benzie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</si>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</sst>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Benzie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N=1469</c:v>
                </c:pt>
              </c:strCache>
            </c:strRef>
          </c:cat>
          <c:val>
            <c:numRef>
              <c:f>'Stacked 100%'!$B$7:$B$14</c:f>
              <c:numCache>
                <c:formatCode>0%</c:formatCode>
                <c:ptCount val="8"/>
                <c:pt idx="0">
                  <c:v>0</c:v>
                </c:pt>
                <c:pt idx="1">
                  <c:v>0</c:v>
                </c:pt>
                <c:pt idx="2">
                  <c:v>0</c:v>
                </c:pt>
                <c:pt idx="3">
                  <c:v>0</c:v>
                </c:pt>
                <c:pt idx="4">
                  <c:v>0</c:v>
                </c:pt>
                <c:pt idx="5">
                  <c:v>0</c:v>
                </c:pt>
                <c:pt idx="6">
                  <c:v>0</c:v>
                </c:pt>
                <c:pt idx="7">
                  <c:v>2.042205582028591E-2</c:v>
                </c:pt>
              </c:numCache>
            </c:numRef>
          </c:val>
          <c:extLst>
            <c:ext xmlns:c16="http://schemas.microsoft.com/office/drawing/2014/chart" uri="{C3380CC4-5D6E-409C-BE32-E72D297353CC}">
              <c16:uniqueId val="{00000000-A2A6-45A3-92AF-6024E10A9C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N=1469</c:v>
                </c:pt>
              </c:strCache>
            </c:strRef>
          </c:cat>
          <c:val>
            <c:numRef>
              <c:f>'Stacked 100%'!$C$7:$C$14</c:f>
              <c:numCache>
                <c:formatCode>0%</c:formatCode>
                <c:ptCount val="8"/>
                <c:pt idx="0">
                  <c:v>0</c:v>
                </c:pt>
                <c:pt idx="1">
                  <c:v>0</c:v>
                </c:pt>
                <c:pt idx="2">
                  <c:v>0</c:v>
                </c:pt>
                <c:pt idx="3">
                  <c:v>0</c:v>
                </c:pt>
                <c:pt idx="4">
                  <c:v>0</c:v>
                </c:pt>
                <c:pt idx="5">
                  <c:v>0</c:v>
                </c:pt>
                <c:pt idx="6">
                  <c:v>0</c:v>
                </c:pt>
                <c:pt idx="7">
                  <c:v>4.1524846834581346E-2</c:v>
                </c:pt>
              </c:numCache>
            </c:numRef>
          </c:val>
          <c:extLst>
            <c:ext xmlns:c16="http://schemas.microsoft.com/office/drawing/2014/chart" uri="{C3380CC4-5D6E-409C-BE32-E72D297353CC}">
              <c16:uniqueId val="{00000001-A2A6-45A3-92AF-6024E10A9C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N=1469</c:v>
                </c:pt>
              </c:strCache>
            </c:strRef>
          </c:cat>
          <c:val>
            <c:numRef>
              <c:f>'Stacked 100%'!$H$7:$H$14</c:f>
              <c:numCache>
                <c:formatCode>0%</c:formatCode>
                <c:ptCount val="8"/>
                <c:pt idx="0">
                  <c:v>0</c:v>
                </c:pt>
                <c:pt idx="1">
                  <c:v>0</c:v>
                </c:pt>
                <c:pt idx="2">
                  <c:v>0</c:v>
                </c:pt>
                <c:pt idx="3">
                  <c:v>0</c:v>
                </c:pt>
                <c:pt idx="4">
                  <c:v>0</c:v>
                </c:pt>
                <c:pt idx="5">
                  <c:v>0</c:v>
                </c:pt>
                <c:pt idx="6">
                  <c:v>0</c:v>
                </c:pt>
                <c:pt idx="7">
                  <c:v>1.5292213343985363E-5</c:v>
                </c:pt>
              </c:numCache>
            </c:numRef>
          </c:val>
          <c:extLst>
            <c:ext xmlns:c16="http://schemas.microsoft.com/office/drawing/2014/chart" uri="{C3380CC4-5D6E-409C-BE32-E72D297353CC}">
              <c16:uniqueId val="{00000002-A2A6-45A3-92AF-6024E10A9C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N=1469</c:v>
                </c:pt>
              </c:strCache>
            </c:strRef>
          </c:cat>
          <c:val>
            <c:numRef>
              <c:f>'Stacked 100%'!$I$7:$I$14</c:f>
              <c:numCache>
                <c:formatCode>0%</c:formatCode>
                <c:ptCount val="8"/>
                <c:pt idx="0">
                  <c:v>0</c:v>
                </c:pt>
                <c:pt idx="1">
                  <c:v>0</c:v>
                </c:pt>
                <c:pt idx="2">
                  <c:v>0</c:v>
                </c:pt>
                <c:pt idx="3">
                  <c:v>0</c:v>
                </c:pt>
                <c:pt idx="4">
                  <c:v>0</c:v>
                </c:pt>
                <c:pt idx="5">
                  <c:v>0</c:v>
                </c:pt>
                <c:pt idx="6">
                  <c:v>1</c:v>
                </c:pt>
                <c:pt idx="7">
                  <c:v>0.91558883594281826</c:v>
                </c:pt>
              </c:numCache>
            </c:numRef>
          </c:val>
          <c:extLst>
            <c:ext xmlns:c16="http://schemas.microsoft.com/office/drawing/2014/chart" uri="{C3380CC4-5D6E-409C-BE32-E72D297353CC}">
              <c16:uniqueId val="{00000003-A2A6-45A3-92AF-6024E10A9C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c:v>
                </c:pt>
                <c:pt idx="7">
                  <c:v>Population, total N=1469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2A6-45A3-92AF-6024E10A9C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A5" sqref="A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1469</v>
      </c>
      <c r="C6" s="11">
        <v>1345</v>
      </c>
      <c r="D6" s="11">
        <v>30</v>
      </c>
      <c r="E6" s="11">
        <v>61</v>
      </c>
      <c r="F6" s="11">
        <v>8</v>
      </c>
      <c r="G6" s="11"/>
      <c r="H6" s="11">
        <v>25</v>
      </c>
      <c r="I6" s="11"/>
      <c r="J6" s="91">
        <f>SUM(D6:I6)</f>
        <v>124</v>
      </c>
      <c r="K6" s="92"/>
    </row>
    <row r="7" spans="1:11" ht="15.75" customHeight="1" thickBot="1">
      <c r="A7" s="10" t="s">
        <v>8</v>
      </c>
      <c r="B7" s="11">
        <f t="shared" ref="B7:B15" si="0">SUM(C7:I7)+K7</f>
        <v>3</v>
      </c>
      <c r="C7" s="11">
        <v>3</v>
      </c>
      <c r="D7" s="11"/>
      <c r="E7" s="11"/>
      <c r="F7" s="11"/>
      <c r="G7" s="11"/>
      <c r="H7" s="11"/>
      <c r="I7" s="11"/>
      <c r="J7" s="91">
        <f t="shared" ref="J7:J15" si="1">SUM(D7:I7)</f>
        <v>0</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1342</v>
      </c>
      <c r="R7" s="42">
        <f t="shared" ref="R7:R15" si="5">SUM(N7:Q7)</f>
        <v>1345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0</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0</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0</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0</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0</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Entry'!J6</f>
        <v>124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124</v>
      </c>
      <c r="P7" s="42">
        <f t="shared" ref="P7:P15" si="4">C7</f>
        <v>3</v>
      </c>
      <c r="Q7" s="42">
        <f>C6-C7</f>
        <v>1342</v>
      </c>
      <c r="R7" s="42">
        <f t="shared" ref="R7:R15" si="5">SUM(N7:Q7)</f>
        <v>1469</v>
      </c>
      <c r="S7" s="30">
        <f t="shared" ref="S7:S15" si="6">R7*((((N7*Q7)-(O7*P7))^2))</f>
        <v>203286096</v>
      </c>
      <c r="T7" s="30">
        <f t="shared" ref="T7:T15" si="7">(N7+O7)*(P7+Q7)*(N7+P7)*(O7+Q7)</f>
        <v>733498440</v>
      </c>
      <c r="U7" s="31">
        <f t="shared" ref="U7:U15" si="8">IF((S7&gt;0),S7/T7,"- -")</f>
        <v>0.27714591458435822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0.124</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0.124</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0.124</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0.124</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0.124</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Benzie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1469</v>
      </c>
      <c r="D3" s="57">
        <f>'Data Entry'!C6</f>
        <v>1345</v>
      </c>
      <c r="E3" s="57">
        <f>'Data Entry'!D6</f>
        <v>30</v>
      </c>
      <c r="F3" s="57">
        <f>'Data Entry'!E6</f>
        <v>61</v>
      </c>
      <c r="G3" s="57">
        <f>'Data Entry'!F6</f>
        <v>8</v>
      </c>
      <c r="H3" s="57">
        <f>'Data Entry'!G6</f>
        <v>0</v>
      </c>
      <c r="I3" s="57">
        <f>'Data Entry'!H6</f>
        <v>25</v>
      </c>
      <c r="J3" s="57">
        <f>'Data Entry'!I6</f>
        <v>0</v>
      </c>
      <c r="K3" s="57">
        <f>'Data Entry'!J6</f>
        <v>124</v>
      </c>
    </row>
    <row r="4" spans="2:11" ht="15" customHeight="1">
      <c r="B4" s="16" t="s">
        <v>8</v>
      </c>
      <c r="C4" s="1">
        <f>IF((C$3&gt;0),(1000*('Data Entry'!B7/'Data Entry'!B$6)), 0)</f>
        <v>2.0422055820285907</v>
      </c>
      <c r="D4" s="1">
        <f>IF((D$3&gt;0),(1000*('Data Entry'!C7/'Data Entry'!C$6)), 0)</f>
        <v>2.2304832713754648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Benzie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Benzie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1345</v>
      </c>
      <c r="D7" s="104">
        <f>'Data Entry'!D6</f>
        <v>30</v>
      </c>
      <c r="E7" s="105"/>
      <c r="F7" s="106">
        <f>'Data Entry'!E6</f>
        <v>61</v>
      </c>
      <c r="G7" s="105"/>
      <c r="H7" s="106">
        <f>'Data Entry'!F6</f>
        <v>8</v>
      </c>
      <c r="I7" s="105"/>
      <c r="J7" s="106">
        <f>'Data Entry'!G6</f>
        <v>0</v>
      </c>
      <c r="K7" s="105"/>
      <c r="L7" s="106">
        <f>'Data Entry'!H6</f>
        <v>25</v>
      </c>
      <c r="M7" s="105"/>
      <c r="N7" s="106">
        <f>'Data Entry'!I6</f>
        <v>0</v>
      </c>
      <c r="O7" s="105"/>
      <c r="P7" s="106">
        <f>'Data Entry'!J6</f>
        <v>124</v>
      </c>
      <c r="Q7" s="107"/>
    </row>
    <row r="8" spans="2:26" s="1" customFormat="1" ht="15" customHeight="1">
      <c r="B8" s="142" t="s">
        <v>8</v>
      </c>
      <c r="C8" s="103">
        <f>'Data Entry'!C7</f>
        <v>3</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Benzie</v>
      </c>
    </row>
    <row r="6" spans="1:12">
      <c r="A6" s="135" t="str">
        <f>CONCATENATE("Percentage of Minorities at Stages of the Juvenile Justice System, ", A5, " 2022")</f>
        <v>Percentage of Minorities at Stages of the Juvenile Justice System, County: Benzie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10.846774193548388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10.846774193548388</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10.846774193548388</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10.846774193548388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10.846774193548388</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10.846774193548388</v>
      </c>
    </row>
    <row r="13" spans="1:12">
      <c r="A13" s="128" t="str">
        <f>CONCATENATE("Arrests, total N=", 'Data Entry'!B7)</f>
        <v>Arrests, total N=3</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N=3</v>
      </c>
      <c r="L13">
        <f>I14/(SUM(B14:G14))</f>
        <v>10.846774193548388</v>
      </c>
    </row>
    <row r="14" spans="1:12">
      <c r="A14" s="128" t="str">
        <f>CONCATENATE("Population, total N=", 'Data Entry'!B6)</f>
        <v>Population, total N=1469</v>
      </c>
      <c r="B14" s="150">
        <f>'Data Entry'!D6/'Data Entry'!B6</f>
        <v>2.042205582028591E-2</v>
      </c>
      <c r="C14" s="150">
        <f>'Data Entry'!E6/'Data Entry'!B6</f>
        <v>4.1524846834581346E-2</v>
      </c>
      <c r="D14" s="150">
        <f>'Data Entry'!F6/'Data Entry'!B6</f>
        <v>5.445881552076242E-3</v>
      </c>
      <c r="E14" s="150">
        <f>'Data Entry'!G6/'Data Entry'!B6</f>
        <v>0</v>
      </c>
      <c r="F14" s="150">
        <f>'Data Entry'!H6/'Data Entry'!B6</f>
        <v>1.7018379850238258E-2</v>
      </c>
      <c r="G14" s="150">
        <f>'Data Entry'!I6/'Data Entry'!B6</f>
        <v>0</v>
      </c>
      <c r="H14" s="150">
        <f>SUM(D14:G14)/'Data Entry'!B6</f>
        <v>1.5292213343985363E-5</v>
      </c>
      <c r="I14" s="150">
        <f>'Data Entry'!C6/'Data Entry'!B6</f>
        <v>0.91558883594281826</v>
      </c>
      <c r="K14" s="96" t="str">
        <f t="shared" si="0"/>
        <v>Population, total N=1469</v>
      </c>
      <c r="L14">
        <f>I14/(SUM(B14:G14))</f>
        <v>10.846774193548388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Benzie</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1345</v>
      </c>
      <c r="D7" s="104">
        <f>'Data Entry'!D6</f>
        <v>30</v>
      </c>
      <c r="E7" s="105"/>
      <c r="F7" s="106">
        <f>'Data Entry'!E6</f>
        <v>61</v>
      </c>
      <c r="G7" s="105"/>
      <c r="H7" s="106">
        <f>'Data Entry'!F6</f>
        <v>8</v>
      </c>
      <c r="I7" s="105"/>
      <c r="J7" s="106">
        <f>'Data Entry'!J6</f>
        <v>124</v>
      </c>
      <c r="K7" s="107"/>
    </row>
    <row r="8" spans="2:30" s="1" customFormat="1" ht="15" customHeight="1">
      <c r="B8" s="121" t="s">
        <v>8</v>
      </c>
      <c r="C8" s="103">
        <f>'Data Entry'!C7</f>
        <v>3</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30</v>
      </c>
      <c r="P7" s="42">
        <f t="shared" ref="P7:P15" si="2">C7</f>
        <v>3</v>
      </c>
      <c r="Q7" s="42">
        <f>C6-C7</f>
        <v>1342</v>
      </c>
      <c r="R7" s="42">
        <f t="shared" ref="R7:R15" si="3">SUM(N7:Q7)</f>
        <v>1375</v>
      </c>
      <c r="S7" s="30">
        <f t="shared" ref="S7:S15" si="4">R7*((((N7*Q7)-(O7*P7))^2))</f>
        <v>11137500</v>
      </c>
      <c r="T7" s="30">
        <f t="shared" ref="T7:T15" si="5">(N7+O7)*(P7+Q7)*(N7+P7)*(O7+Q7)</f>
        <v>166080600</v>
      </c>
      <c r="U7" s="31">
        <f t="shared" ref="U7:U15" si="6">IF((S7&gt;0),S7/T7,"- -")</f>
        <v>6.706081264157282E-2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3</v>
      </c>
      <c r="R8" s="42">
        <f t="shared" si="3"/>
        <v>3.05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v>
      </c>
      <c r="R9" s="42">
        <f t="shared" si="3"/>
        <v>3</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v>
      </c>
      <c r="R10" s="42">
        <f t="shared" si="3"/>
        <v>3</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3</v>
      </c>
      <c r="R11" s="42">
        <f t="shared" si="3"/>
        <v>3</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3</v>
      </c>
      <c r="R12" s="42">
        <f t="shared" si="3"/>
        <v>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0.03</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0.03</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0.03</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0.03</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0.03</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Entry'!F6</f>
        <v>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3</v>
      </c>
      <c r="Q7" s="42">
        <f>C6-C7</f>
        <v>1342</v>
      </c>
      <c r="R7" s="42">
        <f t="shared" ref="R7:R15" si="5">SUM(N7:Q7)</f>
        <v>1353</v>
      </c>
      <c r="S7" s="30">
        <f t="shared" ref="S7:S15" si="6">R7*((((N7*Q7)-(O7*P7))^2))</f>
        <v>779328</v>
      </c>
      <c r="T7" s="30">
        <f t="shared" ref="T7:T15" si="7">(N7+O7)*(P7+Q7)*(N7+P7)*(O7+Q7)</f>
        <v>43578000</v>
      </c>
      <c r="U7" s="31">
        <f t="shared" ref="U7:U15" si="8">IF((S7&gt;0),S7/T7,"- -")</f>
        <v>1.7883519206939282E-2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8.0000000000000002E-3</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8.0000000000000002E-3</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8.0000000000000002E-3</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8.0000000000000002E-3</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8.0000000000000002E-3</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Entry'!E6</f>
        <v>61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61</v>
      </c>
      <c r="P7" s="42">
        <f t="shared" ref="P7:P15" si="4">C7</f>
        <v>3</v>
      </c>
      <c r="Q7" s="42">
        <f>C6-C7</f>
        <v>1342</v>
      </c>
      <c r="R7" s="42">
        <f t="shared" ref="R7:R15" si="5">SUM(N7:Q7)</f>
        <v>1406</v>
      </c>
      <c r="S7" s="30">
        <f t="shared" ref="S7:S15" si="6">R7*((((N7*Q7)-(O7*P7))^2))</f>
        <v>47085534</v>
      </c>
      <c r="T7" s="30">
        <f t="shared" ref="T7:T15" si="7">(N7+O7)*(P7+Q7)*(N7+P7)*(O7+Q7)</f>
        <v>345327405</v>
      </c>
      <c r="U7" s="31">
        <f t="shared" ref="U7:U15" si="8">IF((S7&gt;0),S7/T7,"- -")</f>
        <v>0.13635041215451754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6.0999999999999999E-2</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6.0999999999999999E-2</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6.0999999999999999E-2</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6.0999999999999999E-2</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6.0999999999999999E-2</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1342</v>
      </c>
      <c r="R7" s="42">
        <f t="shared" ref="R7:R15" si="5">SUM(N7:Q7)</f>
        <v>1345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0</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0</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0</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0</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0</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1345</v>
      </c>
      <c r="D6" s="34"/>
      <c r="E6" s="33">
        <f>'Data Entry'!H6</f>
        <v>25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3</v>
      </c>
      <c r="D7" s="34">
        <f>IF((AND(C66&gt;0,C7&gt;0)),(C7/C66),0)</f>
        <v>2.2304832713754648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v>
      </c>
      <c r="P7" s="42">
        <f t="shared" ref="P7:P15" si="4">C7</f>
        <v>3</v>
      </c>
      <c r="Q7" s="42">
        <f>C6-C7</f>
        <v>1342</v>
      </c>
      <c r="R7" s="42">
        <f t="shared" ref="R7:R15" si="5">SUM(N7:Q7)</f>
        <v>1370</v>
      </c>
      <c r="S7" s="30">
        <f t="shared" ref="S7:S15" si="6">R7*((((N7*Q7)-(O7*P7))^2))</f>
        <v>7706250</v>
      </c>
      <c r="T7" s="30">
        <f t="shared" ref="T7:T15" si="7">(N7+O7)*(P7+Q7)*(N7+P7)*(O7+Q7)</f>
        <v>137896125</v>
      </c>
      <c r="U7" s="31">
        <f t="shared" ref="U7:U15" si="8">IF((S7&gt;0),S7/T7,"- -")</f>
        <v>5.5884456506663981E-2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v>
      </c>
      <c r="R8" s="42">
        <f t="shared" si="5"/>
        <v>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v>
      </c>
      <c r="R10" s="42">
        <f t="shared" si="5"/>
        <v>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1.345</v>
      </c>
      <c r="D42" s="56">
        <f>E6/1000</f>
        <v>2.5000000000000001E-2</v>
      </c>
      <c r="E42" s="56">
        <f>MAX(C42:D42)</f>
        <v>1.345</v>
      </c>
      <c r="G42" s="1" t="str">
        <f>B42</f>
        <v>per 1000 youth</v>
      </c>
      <c r="L42" s="57">
        <v>1000</v>
      </c>
      <c r="M42" s="57"/>
      <c r="R42" s="49"/>
    </row>
    <row r="43" spans="2:18" ht="15" hidden="1" customHeight="1">
      <c r="B43" s="49" t="s">
        <v>87</v>
      </c>
      <c r="C43" s="56">
        <f>C7/100</f>
        <v>0.03</v>
      </c>
      <c r="D43" s="56">
        <f>E7/100</f>
        <v>0</v>
      </c>
      <c r="E43" s="56">
        <f>MAX(C43:D43,0)</f>
        <v>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1.345</v>
      </c>
      <c r="D48" s="56">
        <f>D42</f>
        <v>2.5000000000000001E-2</v>
      </c>
      <c r="E48" s="56">
        <f>MAX(C48:D48)</f>
        <v>1.345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c r="B50" s="49" t="str">
        <f t="shared" si="9"/>
        <v>per 100 arrests</v>
      </c>
      <c r="C50" s="49">
        <f t="shared" si="9"/>
        <v>0.03</v>
      </c>
      <c r="D50" s="49">
        <f t="shared" si="9"/>
        <v>0</v>
      </c>
      <c r="E50" s="49">
        <f>MAX(C50:D50)</f>
        <v>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1.345</v>
      </c>
      <c r="D54" s="56">
        <f>D48</f>
        <v>2.5000000000000001E-2</v>
      </c>
      <c r="E54" s="56">
        <f>MAX(C54:D54)</f>
        <v>1.345</v>
      </c>
      <c r="G54" s="1" t="str">
        <f>G48</f>
        <v>per 1000 youth</v>
      </c>
      <c r="L54" s="58">
        <f>L48</f>
        <v>1000</v>
      </c>
      <c r="M54" s="58"/>
    </row>
    <row r="55" spans="2:18" ht="15" hidden="1" customHeight="1">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c r="B56" s="49" t="str">
        <f t="shared" si="10"/>
        <v>per 100 arrests</v>
      </c>
      <c r="C56" s="49">
        <f t="shared" si="10"/>
        <v>0.03</v>
      </c>
      <c r="D56" s="49">
        <f t="shared" si="10"/>
        <v>0</v>
      </c>
      <c r="E56" s="49">
        <f>MAX(C56:D56)</f>
        <v>0.03</v>
      </c>
      <c r="G56" s="1" t="str">
        <f>G50</f>
        <v>per 100 referrals</v>
      </c>
      <c r="L56" s="58">
        <f>IF(($E50&gt;0),L50,L49)</f>
        <v>100</v>
      </c>
      <c r="M56" s="58"/>
    </row>
    <row r="57" spans="2:18" ht="15" hidden="1" customHeight="1">
      <c r="B57" s="49" t="str">
        <f>IF(($E51&gt;0),B51,B49)</f>
        <v>per 100 arrests</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1.345</v>
      </c>
      <c r="D60" s="56">
        <f>D54</f>
        <v>2.5000000000000001E-2</v>
      </c>
      <c r="E60" s="56">
        <f>MAX(C60:D60)</f>
        <v>1.345</v>
      </c>
      <c r="G60" s="1" t="str">
        <f>G54</f>
        <v>per 1000 youth</v>
      </c>
      <c r="L60" s="58">
        <f>L54</f>
        <v>1000</v>
      </c>
      <c r="M60" s="58"/>
    </row>
    <row r="61" spans="2:18" ht="15" hidden="1" customHeight="1">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c r="B62" s="49" t="str">
        <f t="shared" si="11"/>
        <v>per 100 arrests</v>
      </c>
      <c r="C62" s="49">
        <f t="shared" si="11"/>
        <v>0.03</v>
      </c>
      <c r="D62" s="49">
        <f t="shared" si="11"/>
        <v>0</v>
      </c>
      <c r="E62" s="49">
        <f>MAX(C62:D62)</f>
        <v>0.03</v>
      </c>
      <c r="G62" s="1" t="str">
        <f>G56</f>
        <v>per 100 referrals</v>
      </c>
      <c r="L62" s="58">
        <f>IF(($E56&gt;0),L56,L55)</f>
        <v>100</v>
      </c>
      <c r="M62" s="58"/>
    </row>
    <row r="63" spans="2:18" ht="15" hidden="1" customHeight="1">
      <c r="B63" s="49" t="str">
        <f>IF(($E57&gt;0),B57,B55)</f>
        <v>per 100 arrests</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arrests</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1.345</v>
      </c>
      <c r="D66" s="56">
        <f>D60</f>
        <v>2.5000000000000001E-2</v>
      </c>
      <c r="E66" s="56">
        <f>MAX(C66:D66)</f>
        <v>1.345</v>
      </c>
      <c r="G66" s="1" t="str">
        <f>G60</f>
        <v>per 1000 youth</v>
      </c>
      <c r="L66" s="58">
        <f>L60</f>
        <v>1000</v>
      </c>
      <c r="M66" s="58">
        <f>IF((B66=G66),1,2)</f>
        <v>1</v>
      </c>
    </row>
    <row r="67" spans="2:13" ht="15" hidden="1" customHeight="1">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c r="B68" s="49" t="str">
        <f t="shared" si="12"/>
        <v>per 100 arrests</v>
      </c>
      <c r="C68" s="49">
        <f t="shared" si="12"/>
        <v>0.03</v>
      </c>
      <c r="D68" s="49">
        <f t="shared" si="12"/>
        <v>0</v>
      </c>
      <c r="E68" s="49">
        <f>MAX(C68:D68)</f>
        <v>0.03</v>
      </c>
      <c r="G68" s="1" t="str">
        <f>G62</f>
        <v>per 100 referrals</v>
      </c>
      <c r="L68" s="58">
        <f>IF(($E62&gt;0),L62,L61)</f>
        <v>100</v>
      </c>
      <c r="M68" s="58">
        <f>IF((B68=G68),1,2)</f>
        <v>2</v>
      </c>
    </row>
    <row r="69" spans="2:13" ht="15" hidden="1" customHeight="1">
      <c r="B69" s="49" t="str">
        <f>IF(($E63&gt;0),B63,B61)</f>
        <v>per 100 arrests</v>
      </c>
      <c r="C69" s="49">
        <f>IF(($E63&gt;0),C63,C62)</f>
        <v>0.03</v>
      </c>
      <c r="D69" s="49">
        <f>IF(($E63&gt;0),D63,D62)</f>
        <v>0</v>
      </c>
      <c r="E69" s="49">
        <f>MAX(C69:D69)</f>
        <v>0.03</v>
      </c>
      <c r="G69" s="1" t="str">
        <f>G63</f>
        <v>per 100 youth petitioned</v>
      </c>
      <c r="L69" s="58">
        <f>IF(($E63&gt;0),L63,L62)</f>
        <v>100</v>
      </c>
      <c r="M69" s="58">
        <f>IF((B69=G69),1,2)</f>
        <v>2</v>
      </c>
    </row>
    <row r="70" spans="2:13" ht="15" hidden="1" customHeight="1">
      <c r="B70" s="49" t="str">
        <f>IF(($E64&gt;0),B64,B63)</f>
        <v>per 100 arrests</v>
      </c>
      <c r="C70" s="49">
        <f>IF(($E64&gt;0),C64,C63)</f>
        <v>0.03</v>
      </c>
      <c r="D70" s="49">
        <f>IF(($E64&gt;0),D64,D63)</f>
        <v>0</v>
      </c>
      <c r="E70" s="56">
        <f>MAX(C70:D70)</f>
        <v>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U47JMPN4QEAR-1806752177-30437</_dlc_DocId>
    <_dlc_DocIdUrl xmlns="ac3811b5-0f3e-49e2-ba69-f2ffa0c782af">
      <Url>https://michiganphi.sharepoint.com/sites/CMDMC/_layouts/15/DocIdRedir.aspx?ID=U47JMPN4QEAR-1806752177-30437</Url>
      <Description>U47JMPN4QEAR-1806752177-30437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B704A4-CCB4-4D5F-9FD0-A3F86574477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EBBAF47D-4F5E-48E9-A232-24B026DD3157}"/>
</file>

<file path=customXml/itemProps3.xml><?xml version="1.0" encoding="utf-8"?>
<ds:datastoreItem xmlns:ds="http://schemas.openxmlformats.org/officeDocument/2006/customXml" ds:itemID="{3E5608E4-2E5F-4D0A-8B86-4EA1A953FEA2}">
  <ds:schemaRefs>
    <ds:schemaRef ds:uri="http://schemas.microsoft.com/sharepoint/v3/contenttype/forms"/>
  </ds:schemaRefs>
</ds:datastoreItem>
</file>

<file path=customXml/itemProps4.xml><?xml version="1.0" encoding="utf-8"?>
<ds:datastoreItem xmlns:ds="http://schemas.openxmlformats.org/officeDocument/2006/customXml" ds:itemID="{662088ED-B8F7-43BD-9199-62E837D9BB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2d6c680c-6ed6-417b-8df9-02af337a232f</vt:lpwstr>
  </property>
</Properties>
</file>