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9260" yWindow="-75" windowWidth="15480" windowHeight="10485" activeTab="1"/>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45621"/>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c r="F27" i="2"/>
  <c r="J27" i="2"/>
  <c r="G42" i="2"/>
  <c r="G48" i="2"/>
  <c r="G54" i="2"/>
  <c r="G60" i="2"/>
  <c r="G66" i="2"/>
  <c r="G43" i="2"/>
  <c r="G44" i="2"/>
  <c r="G50" i="2"/>
  <c r="G45" i="2"/>
  <c r="G46" i="2"/>
  <c r="G52" i="2"/>
  <c r="G58" i="2"/>
  <c r="G64" i="2"/>
  <c r="G70" i="2"/>
  <c r="L48" i="2"/>
  <c r="L54" i="2"/>
  <c r="L60" i="2"/>
  <c r="G49" i="2"/>
  <c r="G51" i="2"/>
  <c r="G57" i="2"/>
  <c r="G63" i="2"/>
  <c r="G69" i="2"/>
  <c r="G55" i="2"/>
  <c r="G56" i="2"/>
  <c r="G61" i="2"/>
  <c r="G67" i="2"/>
  <c r="G62" i="2"/>
  <c r="G68" i="2"/>
  <c r="L66" i="2"/>
  <c r="F1" i="3"/>
  <c r="B2" i="3"/>
  <c r="B3" i="3"/>
  <c r="B6" i="3"/>
  <c r="B7" i="3"/>
  <c r="B8" i="3"/>
  <c r="B9" i="3"/>
  <c r="B10" i="3"/>
  <c r="B11" i="3"/>
  <c r="B12" i="3"/>
  <c r="B13" i="3"/>
  <c r="B14" i="3"/>
  <c r="B15" i="3"/>
  <c r="B48" i="3"/>
  <c r="B54" i="3"/>
  <c r="B60" i="3"/>
  <c r="B66" i="3"/>
  <c r="J27" i="3"/>
  <c r="G42" i="3"/>
  <c r="G43" i="3"/>
  <c r="G49" i="3"/>
  <c r="G55" i="3"/>
  <c r="G61" i="3"/>
  <c r="G67" i="3"/>
  <c r="G44" i="3"/>
  <c r="G50" i="3"/>
  <c r="G56" i="3"/>
  <c r="G62" i="3"/>
  <c r="G68" i="3"/>
  <c r="G45" i="3"/>
  <c r="G46" i="3"/>
  <c r="G48" i="3"/>
  <c r="G54" i="3"/>
  <c r="G60" i="3"/>
  <c r="G66" i="3"/>
  <c r="L48" i="3"/>
  <c r="G51" i="3"/>
  <c r="G57" i="3"/>
  <c r="G63" i="3"/>
  <c r="G52" i="3"/>
  <c r="G58" i="3"/>
  <c r="G64" i="3"/>
  <c r="G70" i="3"/>
  <c r="L54" i="3"/>
  <c r="L60" i="3"/>
  <c r="L66" i="3"/>
  <c r="G69" i="3"/>
  <c r="F1" i="4"/>
  <c r="B2" i="4"/>
  <c r="B3" i="4"/>
  <c r="B6" i="4"/>
  <c r="B7" i="4"/>
  <c r="B8" i="4"/>
  <c r="B9" i="4"/>
  <c r="E9" i="4"/>
  <c r="N9" i="4" s="1"/>
  <c r="B10" i="4"/>
  <c r="B11" i="4"/>
  <c r="B12" i="4"/>
  <c r="B13" i="4"/>
  <c r="B14" i="4"/>
  <c r="B15" i="4"/>
  <c r="B48" i="4"/>
  <c r="B54" i="4"/>
  <c r="B60" i="4"/>
  <c r="B66" i="4"/>
  <c r="J27" i="4"/>
  <c r="G42" i="4"/>
  <c r="G48" i="4"/>
  <c r="G54" i="4"/>
  <c r="G60" i="4"/>
  <c r="G43" i="4"/>
  <c r="G49" i="4"/>
  <c r="G55" i="4"/>
  <c r="G61" i="4"/>
  <c r="G67" i="4"/>
  <c r="G44" i="4"/>
  <c r="G45" i="4"/>
  <c r="G51" i="4"/>
  <c r="G46" i="4"/>
  <c r="L48" i="4"/>
  <c r="L54" i="4"/>
  <c r="G50" i="4"/>
  <c r="G52" i="4"/>
  <c r="G58" i="4"/>
  <c r="G64" i="4"/>
  <c r="G70" i="4"/>
  <c r="G56" i="4"/>
  <c r="G62" i="4"/>
  <c r="G68" i="4"/>
  <c r="G57" i="4"/>
  <c r="G63" i="4"/>
  <c r="L60" i="4"/>
  <c r="L66" i="4"/>
  <c r="G66" i="4"/>
  <c r="G69" i="4"/>
  <c r="F1" i="5"/>
  <c r="J5" i="13" s="1"/>
  <c r="B2" i="5"/>
  <c r="B3" i="5"/>
  <c r="B6" i="5"/>
  <c r="B7" i="5"/>
  <c r="B8" i="5"/>
  <c r="B9" i="5"/>
  <c r="B10" i="5"/>
  <c r="B11" i="5"/>
  <c r="B12" i="5"/>
  <c r="B13" i="5"/>
  <c r="B14" i="5"/>
  <c r="B15" i="5"/>
  <c r="B48" i="5"/>
  <c r="B54" i="5"/>
  <c r="B60" i="5"/>
  <c r="B66" i="5"/>
  <c r="J27" i="5"/>
  <c r="G42" i="5"/>
  <c r="G43" i="5"/>
  <c r="G49" i="5"/>
  <c r="G55" i="5"/>
  <c r="G61" i="5"/>
  <c r="G67" i="5"/>
  <c r="G44" i="5"/>
  <c r="G50" i="5"/>
  <c r="G56" i="5"/>
  <c r="G62" i="5"/>
  <c r="G45" i="5"/>
  <c r="G46" i="5"/>
  <c r="G48" i="5"/>
  <c r="G54" i="5"/>
  <c r="G60" i="5"/>
  <c r="G66" i="5"/>
  <c r="L48" i="5"/>
  <c r="G51" i="5"/>
  <c r="G57" i="5"/>
  <c r="G63" i="5"/>
  <c r="G69" i="5"/>
  <c r="G52" i="5"/>
  <c r="L54" i="5"/>
  <c r="L60" i="5"/>
  <c r="L66" i="5"/>
  <c r="G58" i="5"/>
  <c r="G64" i="5"/>
  <c r="G70" i="5"/>
  <c r="G68" i="5"/>
  <c r="F1" i="6"/>
  <c r="B2" i="6"/>
  <c r="B3" i="6"/>
  <c r="B6" i="6"/>
  <c r="B7" i="6"/>
  <c r="B8" i="6"/>
  <c r="B9" i="6"/>
  <c r="B10" i="6"/>
  <c r="B11" i="6"/>
  <c r="B12" i="6"/>
  <c r="B13" i="6"/>
  <c r="B14" i="6"/>
  <c r="B15" i="6"/>
  <c r="B48" i="6"/>
  <c r="B54" i="6"/>
  <c r="B60" i="6"/>
  <c r="B66" i="6"/>
  <c r="J27" i="6"/>
  <c r="G42" i="6"/>
  <c r="G48" i="6"/>
  <c r="G54" i="6"/>
  <c r="G60" i="6"/>
  <c r="G66" i="6"/>
  <c r="G43" i="6"/>
  <c r="G49" i="6"/>
  <c r="G55" i="6"/>
  <c r="G61" i="6"/>
  <c r="G67" i="6"/>
  <c r="G44" i="6"/>
  <c r="G45" i="6"/>
  <c r="G51" i="6"/>
  <c r="G46" i="6"/>
  <c r="G52" i="6"/>
  <c r="G58" i="6"/>
  <c r="G64" i="6"/>
  <c r="G70" i="6"/>
  <c r="L48" i="6"/>
  <c r="L54" i="6"/>
  <c r="L60" i="6"/>
  <c r="L66" i="6"/>
  <c r="G50" i="6"/>
  <c r="G56" i="6"/>
  <c r="G62" i="6"/>
  <c r="G68" i="6"/>
  <c r="G57" i="6"/>
  <c r="G63" i="6"/>
  <c r="G69" i="6"/>
  <c r="F1" i="7"/>
  <c r="B2" i="7"/>
  <c r="B3" i="7"/>
  <c r="B6" i="7"/>
  <c r="B7" i="7"/>
  <c r="B8" i="7"/>
  <c r="B9" i="7"/>
  <c r="B10" i="7"/>
  <c r="B11" i="7"/>
  <c r="B12" i="7"/>
  <c r="B13" i="7"/>
  <c r="B14" i="7"/>
  <c r="B15" i="7"/>
  <c r="B48" i="7"/>
  <c r="B54" i="7"/>
  <c r="B60" i="7"/>
  <c r="B66" i="7"/>
  <c r="J27" i="7"/>
  <c r="G42" i="7"/>
  <c r="G43" i="7"/>
  <c r="G49" i="7"/>
  <c r="G44" i="7"/>
  <c r="G45" i="7"/>
  <c r="G51" i="7"/>
  <c r="G57" i="7"/>
  <c r="G63" i="7"/>
  <c r="G69" i="7"/>
  <c r="G46" i="7"/>
  <c r="G48" i="7"/>
  <c r="G54" i="7"/>
  <c r="G60" i="7"/>
  <c r="G66" i="7"/>
  <c r="L48" i="7"/>
  <c r="G50" i="7"/>
  <c r="G56" i="7"/>
  <c r="G62" i="7"/>
  <c r="G68" i="7"/>
  <c r="G52" i="7"/>
  <c r="G58" i="7"/>
  <c r="G64" i="7"/>
  <c r="G70" i="7"/>
  <c r="L54" i="7"/>
  <c r="L60" i="7"/>
  <c r="L66" i="7"/>
  <c r="G55" i="7"/>
  <c r="G61" i="7"/>
  <c r="G67" i="7"/>
  <c r="F1" i="8"/>
  <c r="B2" i="8"/>
  <c r="B3" i="8"/>
  <c r="B6" i="8"/>
  <c r="B7" i="8"/>
  <c r="B8" i="8"/>
  <c r="B9" i="8"/>
  <c r="B10" i="8"/>
  <c r="B11" i="8"/>
  <c r="B12" i="8"/>
  <c r="B13" i="8"/>
  <c r="B14" i="8"/>
  <c r="B15" i="8"/>
  <c r="B48" i="8"/>
  <c r="B54" i="8"/>
  <c r="B60" i="8"/>
  <c r="B66" i="8"/>
  <c r="J27" i="8"/>
  <c r="G42" i="8"/>
  <c r="G43" i="8"/>
  <c r="G44" i="8"/>
  <c r="G45" i="8"/>
  <c r="G46" i="8"/>
  <c r="G52" i="8"/>
  <c r="G48" i="8"/>
  <c r="G54" i="8"/>
  <c r="G60" i="8"/>
  <c r="G66" i="8"/>
  <c r="L48" i="8"/>
  <c r="G49" i="8"/>
  <c r="G55" i="8"/>
  <c r="G50" i="8"/>
  <c r="G51" i="8"/>
  <c r="G57" i="8"/>
  <c r="G63" i="8"/>
  <c r="G69" i="8"/>
  <c r="L54" i="8"/>
  <c r="L60" i="8"/>
  <c r="L66" i="8"/>
  <c r="G56" i="8"/>
  <c r="G62" i="8"/>
  <c r="G58" i="8"/>
  <c r="G64" i="8"/>
  <c r="G70" i="8"/>
  <c r="G61" i="8"/>
  <c r="G67" i="8"/>
  <c r="G68"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c r="F27" i="8"/>
  <c r="F27" i="7"/>
  <c r="M66" i="7"/>
  <c r="F27" i="4"/>
  <c r="M66" i="4"/>
  <c r="F27" i="6"/>
  <c r="M66" i="6"/>
  <c r="M66" i="5"/>
  <c r="F27" i="5"/>
  <c r="F27" i="3"/>
  <c r="M66" i="3"/>
  <c r="M66" i="2"/>
  <c r="H5" i="16" l="1"/>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N12" i="5"/>
  <c r="D16" i="13"/>
  <c r="C15" i="2"/>
  <c r="P15" i="2" s="1"/>
  <c r="C15" i="3"/>
  <c r="P15" i="3" s="1"/>
  <c r="C15" i="4"/>
  <c r="P15" i="4" s="1"/>
  <c r="C15" i="6"/>
  <c r="P15" i="6" s="1"/>
  <c r="C15" i="5"/>
  <c r="P15" i="5" s="1"/>
  <c r="C15" i="7"/>
  <c r="P15" i="7" s="1"/>
  <c r="C15" i="8"/>
  <c r="P15" i="8" s="1"/>
  <c r="D44" i="6" l="1"/>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E43" i="7"/>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D46" i="8" l="1"/>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R7" i="8" l="1"/>
  <c r="S7" i="8" s="1"/>
  <c r="C58" i="5"/>
  <c r="B51" i="2"/>
  <c r="D51" i="8"/>
  <c r="E52" i="8"/>
  <c r="D58" i="8" s="1"/>
  <c r="T7" i="8"/>
  <c r="D49" i="8"/>
  <c r="L58" i="3"/>
  <c r="D50" i="8"/>
  <c r="L50" i="8"/>
  <c r="L7" i="5"/>
  <c r="Q8" i="16" s="1"/>
  <c r="K7" i="8"/>
  <c r="B49" i="8"/>
  <c r="C49" i="8"/>
  <c r="C50" i="8"/>
  <c r="M7" i="6"/>
  <c r="G7" i="6" s="1"/>
  <c r="G7" i="9" s="1"/>
  <c r="D55" i="4"/>
  <c r="E55" i="4" s="1"/>
  <c r="L7" i="7"/>
  <c r="Q7" i="9" s="1"/>
  <c r="C58" i="4"/>
  <c r="L7" i="3"/>
  <c r="P8" i="16" s="1"/>
  <c r="B51" i="8"/>
  <c r="B58" i="8" s="1"/>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E58" i="5" l="1"/>
  <c r="C56" i="2"/>
  <c r="E56" i="2" s="1"/>
  <c r="U7" i="8"/>
  <c r="J7" i="8" s="1"/>
  <c r="M7" i="8" s="1"/>
  <c r="E50" i="8"/>
  <c r="C56" i="8" s="1"/>
  <c r="E58" i="4"/>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64" i="4"/>
  <c r="D56" i="7"/>
  <c r="B56" i="7"/>
  <c r="C56" i="7"/>
  <c r="L56" i="7"/>
  <c r="D61" i="3"/>
  <c r="L61" i="3"/>
  <c r="C61" i="3"/>
  <c r="B61" i="3"/>
  <c r="L58" i="2"/>
  <c r="C58" i="2"/>
  <c r="B58" i="2"/>
  <c r="D58" i="2"/>
  <c r="C66" i="3"/>
  <c r="E60" i="3"/>
  <c r="D57" i="5"/>
  <c r="L57" i="5"/>
  <c r="L64" i="5" s="1"/>
  <c r="B57" i="5"/>
  <c r="C57" i="5"/>
  <c r="C66" i="6"/>
  <c r="E60" i="6"/>
  <c r="C66" i="2"/>
  <c r="E60" i="2"/>
  <c r="E56" i="6"/>
  <c r="E55" i="6"/>
  <c r="E55" i="7"/>
  <c r="E58" i="7"/>
  <c r="L56" i="8" l="1"/>
  <c r="B56" i="8"/>
  <c r="D64" i="5"/>
  <c r="C57" i="8"/>
  <c r="C64" i="5"/>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C64" i="8"/>
  <c r="B64" i="8"/>
  <c r="E62" i="4"/>
  <c r="C68" i="4" s="1"/>
  <c r="B61" i="5"/>
  <c r="C61" i="5"/>
  <c r="E61" i="5" s="1"/>
  <c r="D67" i="5" s="1"/>
  <c r="E62" i="3"/>
  <c r="C68" i="3" s="1"/>
  <c r="B64" i="6"/>
  <c r="D63" i="7"/>
  <c r="B63" i="7"/>
  <c r="L63" i="7"/>
  <c r="E61" i="3"/>
  <c r="D67" i="3" s="1"/>
  <c r="I7" i="9"/>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E64" i="5"/>
  <c r="C63" i="3"/>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C69" i="7" s="1"/>
  <c r="D12" i="7" s="1"/>
  <c r="L62" i="7"/>
  <c r="L69" i="7" s="1"/>
  <c r="C67" i="4"/>
  <c r="L67" i="4"/>
  <c r="D67" i="4"/>
  <c r="B67" i="4"/>
  <c r="E62" i="6"/>
  <c r="D9" i="4"/>
  <c r="D10" i="4"/>
  <c r="D11" i="4"/>
  <c r="L64" i="2"/>
  <c r="D64" i="2"/>
  <c r="C64" i="2"/>
  <c r="B64" i="2"/>
  <c r="E63" i="4"/>
  <c r="E62" i="2"/>
  <c r="D63" i="5"/>
  <c r="D70" i="5" s="1"/>
  <c r="F14" i="5" s="1"/>
  <c r="C63" i="5"/>
  <c r="B63" i="5"/>
  <c r="L63" i="5"/>
  <c r="L70" i="5" s="1"/>
  <c r="F8" i="5"/>
  <c r="C70" i="5" l="1"/>
  <c r="D13" i="5" s="1"/>
  <c r="B70" i="5"/>
  <c r="F33" i="5" s="1"/>
  <c r="C63" i="8"/>
  <c r="E63" i="8" s="1"/>
  <c r="D69" i="8" s="1"/>
  <c r="D70" i="6"/>
  <c r="F13" i="6" s="1"/>
  <c r="L63" i="8"/>
  <c r="E63" i="3"/>
  <c r="C69" i="3" s="1"/>
  <c r="D15" i="3" s="1"/>
  <c r="C70" i="6"/>
  <c r="C70" i="3"/>
  <c r="D14" i="3" s="1"/>
  <c r="L70" i="3"/>
  <c r="L70" i="6"/>
  <c r="D70" i="3"/>
  <c r="F13" i="3" s="1"/>
  <c r="D69" i="7"/>
  <c r="F15" i="7" s="1"/>
  <c r="E63" i="6"/>
  <c r="L69" i="6" s="1"/>
  <c r="Q10" i="3"/>
  <c r="Q10" i="4"/>
  <c r="Q9" i="4"/>
  <c r="B69" i="6"/>
  <c r="M69" i="6" s="1"/>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D69" i="3"/>
  <c r="E69" i="3" s="1"/>
  <c r="F29" i="4"/>
  <c r="F13" i="5"/>
  <c r="F33" i="3"/>
  <c r="F13" i="4"/>
  <c r="F33" i="4"/>
  <c r="F10" i="4"/>
  <c r="O10" i="4"/>
  <c r="M67" i="5"/>
  <c r="O11" i="3"/>
  <c r="T11" i="3" s="1"/>
  <c r="O14" i="4"/>
  <c r="Q13" i="4"/>
  <c r="F30" i="3"/>
  <c r="Q9" i="3"/>
  <c r="O10" i="3"/>
  <c r="E68" i="3"/>
  <c r="O9" i="3"/>
  <c r="F31" i="3"/>
  <c r="F29" i="3"/>
  <c r="D14" i="4"/>
  <c r="L70" i="7"/>
  <c r="O14" i="7" s="1"/>
  <c r="M69" i="7"/>
  <c r="C70" i="8"/>
  <c r="Q13" i="8" s="1"/>
  <c r="B70" i="8"/>
  <c r="M70" i="8" s="1"/>
  <c r="E64" i="2"/>
  <c r="L70" i="2" s="1"/>
  <c r="L67" i="6"/>
  <c r="F10" i="3"/>
  <c r="F11" i="3"/>
  <c r="F34" i="3"/>
  <c r="D67" i="6"/>
  <c r="F8" i="6" s="1"/>
  <c r="E70" i="5"/>
  <c r="Q13" i="5"/>
  <c r="D14" i="5"/>
  <c r="O13" i="5"/>
  <c r="O14" i="5"/>
  <c r="F35" i="7"/>
  <c r="B70" i="7"/>
  <c r="F33" i="7" s="1"/>
  <c r="C70" i="7"/>
  <c r="D14" i="7" s="1"/>
  <c r="F14" i="7"/>
  <c r="Q15" i="7"/>
  <c r="E63" i="5"/>
  <c r="L69" i="5" s="1"/>
  <c r="Q12" i="7"/>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Q14" i="5" l="1"/>
  <c r="T14" i="5" s="1"/>
  <c r="M70" i="5"/>
  <c r="L69" i="3"/>
  <c r="Q12" i="3" s="1"/>
  <c r="C69" i="6"/>
  <c r="D12" i="6" s="1"/>
  <c r="F34" i="5"/>
  <c r="D13" i="3"/>
  <c r="O13" i="6"/>
  <c r="F14" i="6"/>
  <c r="E70" i="6"/>
  <c r="E69" i="7"/>
  <c r="D13" i="6"/>
  <c r="O13" i="3"/>
  <c r="F14" i="3"/>
  <c r="O14" i="6"/>
  <c r="B69" i="3"/>
  <c r="M69" i="3" s="1"/>
  <c r="Q14" i="3"/>
  <c r="F12" i="7"/>
  <c r="O12" i="7"/>
  <c r="D14" i="6"/>
  <c r="O15" i="7"/>
  <c r="R15" i="7" s="1"/>
  <c r="S15" i="7" s="1"/>
  <c r="U15" i="7" s="1"/>
  <c r="J15" i="7" s="1"/>
  <c r="Q13" i="3"/>
  <c r="Q13" i="6"/>
  <c r="Q14" i="6"/>
  <c r="E70" i="3"/>
  <c r="O14" i="3"/>
  <c r="D69" i="6"/>
  <c r="F12" i="6" s="1"/>
  <c r="T10" i="3"/>
  <c r="K10" i="4"/>
  <c r="F8" i="7"/>
  <c r="T9" i="4"/>
  <c r="F35" i="6"/>
  <c r="F32" i="6"/>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D15" i="6"/>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K12" i="7"/>
  <c r="K15" i="7"/>
  <c r="B68" i="7"/>
  <c r="F31" i="7" s="1"/>
  <c r="T12" i="7"/>
  <c r="K9" i="3"/>
  <c r="K10" i="3"/>
  <c r="R14" i="4"/>
  <c r="S14" i="4" s="1"/>
  <c r="U14" i="4" s="1"/>
  <c r="J14" i="4" s="1"/>
  <c r="D13" i="7"/>
  <c r="O12" i="3"/>
  <c r="R12" i="3" s="1"/>
  <c r="S12" i="3" s="1"/>
  <c r="R9" i="3"/>
  <c r="S9" i="3" s="1"/>
  <c r="Q14" i="8"/>
  <c r="T9" i="3"/>
  <c r="F34" i="8"/>
  <c r="R14" i="5"/>
  <c r="S14" i="5" s="1"/>
  <c r="U14" i="5" s="1"/>
  <c r="J14" i="5" s="1"/>
  <c r="M14" i="5" s="1"/>
  <c r="F33" i="8"/>
  <c r="C70" i="2"/>
  <c r="D14" i="2" s="1"/>
  <c r="D13" i="8"/>
  <c r="K14" i="5"/>
  <c r="Q15" i="3"/>
  <c r="R12" i="7"/>
  <c r="S12" i="7" s="1"/>
  <c r="U12" i="7" s="1"/>
  <c r="J12" i="7" s="1"/>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3" l="1"/>
  <c r="S14" i="3" s="1"/>
  <c r="U14" i="3" s="1"/>
  <c r="J14" i="3" s="1"/>
  <c r="M14" i="3" s="1"/>
  <c r="G14" i="3" s="1"/>
  <c r="I15" i="16" s="1"/>
  <c r="K13" i="3"/>
  <c r="O15" i="3"/>
  <c r="K15" i="3" s="1"/>
  <c r="Q12" i="6"/>
  <c r="Q15" i="6"/>
  <c r="O15" i="6"/>
  <c r="T14" i="6"/>
  <c r="R13" i="6"/>
  <c r="S13" i="6" s="1"/>
  <c r="U13" i="6" s="1"/>
  <c r="J13" i="6" s="1"/>
  <c r="M13" i="6" s="1"/>
  <c r="K14" i="6"/>
  <c r="R14" i="8"/>
  <c r="S14" i="8" s="1"/>
  <c r="R14" i="6"/>
  <c r="S14" i="6" s="1"/>
  <c r="K13" i="6"/>
  <c r="L13" i="6" s="1"/>
  <c r="R14" i="16" s="1"/>
  <c r="F32" i="3"/>
  <c r="F35" i="3"/>
  <c r="T13" i="6"/>
  <c r="T13" i="8"/>
  <c r="U13" i="8" s="1"/>
  <c r="J13" i="8" s="1"/>
  <c r="M13" i="8" s="1"/>
  <c r="O12" i="6"/>
  <c r="K12" i="6" s="1"/>
  <c r="E69" i="6"/>
  <c r="T13" i="3"/>
  <c r="K14" i="3"/>
  <c r="T14" i="3"/>
  <c r="R13" i="3"/>
  <c r="S13" i="3" s="1"/>
  <c r="U13" i="3" s="1"/>
  <c r="J13" i="3" s="1"/>
  <c r="L13" i="3" s="1"/>
  <c r="P14" i="16" s="1"/>
  <c r="T15" i="7"/>
  <c r="F15" i="6"/>
  <c r="L13" i="4"/>
  <c r="O14" i="16" s="1"/>
  <c r="L11" i="4"/>
  <c r="O12" i="16" s="1"/>
  <c r="K8" i="7"/>
  <c r="O13" i="2"/>
  <c r="O12" i="8"/>
  <c r="F35" i="8"/>
  <c r="T8" i="7"/>
  <c r="U8" i="7" s="1"/>
  <c r="J8" i="7" s="1"/>
  <c r="M8" i="7" s="1"/>
  <c r="T13" i="7"/>
  <c r="Q12" i="8"/>
  <c r="F32" i="8"/>
  <c r="Q10" i="7"/>
  <c r="F13" i="2"/>
  <c r="Q11" i="7"/>
  <c r="L12" i="7"/>
  <c r="S13" i="16" s="1"/>
  <c r="R8" i="6"/>
  <c r="S8" i="6" s="1"/>
  <c r="F14" i="2"/>
  <c r="E69" i="8"/>
  <c r="F10" i="7"/>
  <c r="L10" i="3"/>
  <c r="P11" i="16" s="1"/>
  <c r="F30" i="7"/>
  <c r="D12" i="8"/>
  <c r="M68" i="7"/>
  <c r="Q15" i="8"/>
  <c r="R15" i="8" s="1"/>
  <c r="S15" i="8" s="1"/>
  <c r="F29" i="7"/>
  <c r="F15" i="5"/>
  <c r="D15" i="8"/>
  <c r="U14" i="6"/>
  <c r="J14" i="6" s="1"/>
  <c r="M14" i="6" s="1"/>
  <c r="G14" i="6" s="1"/>
  <c r="M15" i="13" s="1"/>
  <c r="K14" i="8"/>
  <c r="T8" i="6"/>
  <c r="K8" i="6"/>
  <c r="O12" i="5"/>
  <c r="R12" i="5" s="1"/>
  <c r="S12" i="5" s="1"/>
  <c r="U12" i="5" s="1"/>
  <c r="J12" i="5" s="1"/>
  <c r="F35" i="5"/>
  <c r="F12" i="5"/>
  <c r="M69" i="5"/>
  <c r="K13" i="8"/>
  <c r="K8" i="2"/>
  <c r="M70" i="2"/>
  <c r="F9" i="7"/>
  <c r="R15" i="6"/>
  <c r="S15" i="6" s="1"/>
  <c r="U15" i="6" s="1"/>
  <c r="J15" i="6" s="1"/>
  <c r="O11" i="7"/>
  <c r="F34" i="2"/>
  <c r="O10" i="7"/>
  <c r="F11" i="7"/>
  <c r="O9" i="7"/>
  <c r="R9" i="7" s="1"/>
  <c r="S9" i="7" s="1"/>
  <c r="L11" i="3"/>
  <c r="P12" i="16" s="1"/>
  <c r="E69" i="5"/>
  <c r="K12" i="3"/>
  <c r="D15" i="5"/>
  <c r="T12" i="3"/>
  <c r="D12" i="5"/>
  <c r="Q15" i="5"/>
  <c r="K15" i="5" s="1"/>
  <c r="I12" i="16"/>
  <c r="E11" i="9"/>
  <c r="I12" i="13"/>
  <c r="T14" i="8"/>
  <c r="D13" i="2"/>
  <c r="E70" i="2"/>
  <c r="Q14" i="2"/>
  <c r="K14" i="2" s="1"/>
  <c r="M13" i="4"/>
  <c r="G13" i="4" s="1"/>
  <c r="G14" i="16" s="1"/>
  <c r="M12" i="7"/>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E14" i="9"/>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L15" i="7"/>
  <c r="S16" i="16"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T15" i="3" l="1"/>
  <c r="I15" i="13"/>
  <c r="N30" i="3"/>
  <c r="R15" i="3"/>
  <c r="S15" i="3" s="1"/>
  <c r="U15" i="3" s="1"/>
  <c r="J15" i="3" s="1"/>
  <c r="M15" i="3" s="1"/>
  <c r="G15" i="3" s="1"/>
  <c r="I16" i="16" s="1"/>
  <c r="L14" i="3"/>
  <c r="P15" i="16" s="1"/>
  <c r="G13" i="8"/>
  <c r="K14" i="16" s="1"/>
  <c r="T15" i="6"/>
  <c r="G13" i="6"/>
  <c r="G13" i="9" s="1"/>
  <c r="L13" i="8"/>
  <c r="T14" i="16" s="1"/>
  <c r="R12" i="6"/>
  <c r="S12" i="6" s="1"/>
  <c r="K15" i="6"/>
  <c r="L15" i="6" s="1"/>
  <c r="R16" i="16" s="1"/>
  <c r="M13" i="3"/>
  <c r="G13" i="3" s="1"/>
  <c r="I14" i="16" s="1"/>
  <c r="U14" i="8"/>
  <c r="J14" i="8" s="1"/>
  <c r="N30" i="8" s="1"/>
  <c r="T12" i="6"/>
  <c r="M13" i="9"/>
  <c r="U14" i="13"/>
  <c r="U12" i="13"/>
  <c r="M11" i="9"/>
  <c r="R12" i="8"/>
  <c r="S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5" i="3"/>
  <c r="P16" i="16" s="1"/>
  <c r="M15" i="6"/>
  <c r="G15" i="6" s="1"/>
  <c r="N14" i="9"/>
  <c r="L13" i="7"/>
  <c r="S14" i="16" s="1"/>
  <c r="M9" i="3"/>
  <c r="G9" i="3" s="1"/>
  <c r="I10" i="13" s="1"/>
  <c r="I14" i="13"/>
  <c r="G12" i="13"/>
  <c r="G12" i="16"/>
  <c r="N9" i="9"/>
  <c r="P10" i="16"/>
  <c r="M14" i="7"/>
  <c r="N30" i="7"/>
  <c r="L14" i="7"/>
  <c r="S15" i="16" s="1"/>
  <c r="L8" i="7"/>
  <c r="S9" i="16" s="1"/>
  <c r="O13" i="9"/>
  <c r="V14" i="13"/>
  <c r="M9" i="9"/>
  <c r="M10" i="9"/>
  <c r="O14" i="9"/>
  <c r="V10" i="13"/>
  <c r="W15" i="13"/>
  <c r="U12" i="2"/>
  <c r="J12" i="2" s="1"/>
  <c r="L12" i="2" s="1"/>
  <c r="N13" i="16" s="1"/>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V15" i="13" l="1"/>
  <c r="Q14" i="13"/>
  <c r="E13" i="9"/>
  <c r="I13" i="9"/>
  <c r="R13" i="9"/>
  <c r="Z14" i="13"/>
  <c r="M14" i="13"/>
  <c r="U12" i="6"/>
  <c r="J12" i="6" s="1"/>
  <c r="U12" i="8"/>
  <c r="J12" i="8" s="1"/>
  <c r="L12" i="8" s="1"/>
  <c r="T13" i="16" s="1"/>
  <c r="M14" i="8"/>
  <c r="G14" i="8" s="1"/>
  <c r="K15" i="16" s="1"/>
  <c r="L14" i="8"/>
  <c r="T15" i="16" s="1"/>
  <c r="L8" i="6"/>
  <c r="R9" i="16" s="1"/>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2" i="8"/>
  <c r="G12" i="8" s="1"/>
  <c r="K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M12" i="6" l="1"/>
  <c r="G12" i="6" s="1"/>
  <c r="L12" i="6"/>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13" i="16" l="1"/>
  <c r="X13" i="13"/>
  <c r="P12" i="9"/>
  <c r="G12" i="9"/>
  <c r="M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<sst xmlns="http://schemas.openxmlformats.org/spreadsheetml/2006/main" count="654" uniqueCount="141">
  <si>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</si>
  <si>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</si>
  <si>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</si>
  <si>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</si>
  <si>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</si>
  <si>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</si>
  <si>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</si>
  <si>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</si>
  <si>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</si>
  <si>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</si>
  <si>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</si>
  <si>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</si>
  <si>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</si>
  <si>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</si>
  <si>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</si>
  <si>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</si>
  <si>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</si>
  <si>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</si>
  <si>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</si>
  <si>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</si>
  <si>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</si>
  <si>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</si>
  <si>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</si>
  <si>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</si>
  <si>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</si>
  <si>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</si>
  <si>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</si>
  <si>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</si>
  <si>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</si>
  <si>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</si>
  <si>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</si>
  <si>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</si>
  <si>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</si>
  <si>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</si>
  <si>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</si>
  <si>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</si>
  <si>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</si>
  <si>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</si>
  <si>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</si>
  <si>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</si>
  <si>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</si>
  <si>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</si>
  <si>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</si>
  <si>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</si>
  <si>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</si>
  <si>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</si>
  <si>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</si>
  <si>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</si>
  <si>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</si>
  <si>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</si>
  <si>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</si>
  <si>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</si>
  <si>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</si>
  <si>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</si>
  <si>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</si>
  <si>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</si>
  <si>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</si>
  <si>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</si>
  <si>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</si>
  <si>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</si>
  <si>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</si>
  <si>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</si>
  <si>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</si>
  <si>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</si>
  <si>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</si>
  <si>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</si>
  <si>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</si>
  <si>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</si>
  <si>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</si>
  <si>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</si>
  <si>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</si>
  <si>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</si>
  <si>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</si>
  <si>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</si>
  <si>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</si>
  <si>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</si>
  <si>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</si>
  <si>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</si>
  <si>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</si>
  <si>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</si>
  <si>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</si>
  <si>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</si>
  <si>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</si>
  <si>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</si>
  <si>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</si>
  <si>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</si>
  <si>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</si>
  <si>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</si>
  <si>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</si>
  <si>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</si>
  <si>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</si>
  <si>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</si>
  <si>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</si>
  <si>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</si>
  <si>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</si>
  <si>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</si>
  <si>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</si>
  <si>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</si>
  <si>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</si>
  <si>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</si>
  <si>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</si>
  <si>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</si>
  <si>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</si>
  <si>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</si>
  <si>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</si>
  <si>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</si>
  <si>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</si>
  <si>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</si>
  <si>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</si>
  <si>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</si>
  <si>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</si>
  <si>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</si>
  <si>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</si>
  <si>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</si>
  <si>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</si>
  <si>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</si>
  <si>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</si>
  <si>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</si>
  <si>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</si>
  <si>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</si>
  <si>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</si>
  <si>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</si>
  <si>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</si>
  <si>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</si>
  <si>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</si>
  <si>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</si>
  <si>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</si>
  <si>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</si>
  <si>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</si>
  <si>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</si>
  <si>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</si>
  <si>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</si>
  <si>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</si>
  <si>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</si>
  <si>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</si>
  <si>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</si>
  <si>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</si>
  <si>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Item 2.Arrest: Michigan State Police</t>
  </si>
  <si>
    <t>10/1/17 through 9/30/18</t>
  </si>
  <si>
    <t>Item 1. Population (figures for 2018): U.S. Census estimate (from C. Puzzanchera, A. Sladky, and W. Kang, "Easy Access to Juvenile Populations: 1990-2018," Online, accessed August 9, 2019 from http://www.ojjdp.gov/ojstatbb/ezapop/)</t>
  </si>
  <si>
    <t>County: Benzie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</si>
</sst>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2" fillId="2" borderId="0" xfId="0" applyNumberFormat="1" applyFont="1" applyFill="1" applyBorder="1" applyAlignment="1" applyProtection="1">
      <alignment vertical="top" wrapText="1"/>
    </xf>
    <xf numFmtId="4" fontId="4" fillId="0"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Benzie 2018</c:v>
            </c:pt>
          </c:strCache>
        </c:strRef>
      </c:tx>
      <c:layout/>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N=0</c:v>
                </c:pt>
                <c:pt idx="2">
                  <c:v>Delinquent Findings, total N=3</c:v>
                </c:pt>
                <c:pt idx="3">
                  <c:v>Petitions, total N=5</c:v>
                </c:pt>
                <c:pt idx="4">
                  <c:v>Detentions, total N=0</c:v>
                </c:pt>
                <c:pt idx="5">
                  <c:v>Referrals, total N=24</c:v>
                </c:pt>
                <c:pt idx="6">
                  <c:v>Arrests, total N=2</c:v>
                </c:pt>
                <c:pt idx="7">
                  <c:v>Population, total N=1359</c:v>
                </c:pt>
              </c:strCache>
            </c:strRef>
          </c:cat>
          <c:val>
            <c:numRef>
              <c:f>'Stacked 100%'!$B$7:$B$14</c:f>
              <c:numCache>
                <c:formatCode>0%</c:formatCode>
                <c:ptCount val="8"/>
                <c:pt idx="0">
                  <c:v>0</c:v>
                </c:pt>
                <c:pt idx="1">
                  <c:v>0</c:v>
                </c:pt>
                <c:pt idx="2">
                  <c:v>0</c:v>
                </c:pt>
                <c:pt idx="3">
                  <c:v>0</c:v>
                </c:pt>
                <c:pt idx="4">
                  <c:v>0</c:v>
                </c:pt>
                <c:pt idx="5">
                  <c:v>0</c:v>
                </c:pt>
                <c:pt idx="6">
                  <c:v>0</c:v>
                </c:pt>
                <c:pt idx="7">
                  <c:v>1.839587932303164E-2</c:v>
                </c:pt>
              </c:numCache>
            </c:numRef>
          </c:val>
        </c:ser>
        <c:ser>
          <c:idx val="1"/>
          <c:order val="1"/>
          <c:tx>
            <c:strRef>
              <c:f>'Stacked 100%'!$C$6</c:f>
              <c:strCache>
                <c:ptCount val="1"/>
                <c:pt idx="0">
                  <c:v>Hispanic or Latino</c:v>
                </c:pt>
              </c:strCache>
            </c:strRef>
          </c:tx>
          <c:spPr>
            <a:solidFill>
              <a:srgbClr val="F05193"/>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N=0</c:v>
                </c:pt>
                <c:pt idx="2">
                  <c:v>Delinquent Findings, total N=3</c:v>
                </c:pt>
                <c:pt idx="3">
                  <c:v>Petitions, total N=5</c:v>
                </c:pt>
                <c:pt idx="4">
                  <c:v>Detentions, total N=0</c:v>
                </c:pt>
                <c:pt idx="5">
                  <c:v>Referrals, total N=24</c:v>
                </c:pt>
                <c:pt idx="6">
                  <c:v>Arrests, total N=2</c:v>
                </c:pt>
                <c:pt idx="7">
                  <c:v>Population, total N=1359</c:v>
                </c:pt>
              </c:strCache>
            </c:strRef>
          </c:cat>
          <c:val>
            <c:numRef>
              <c:f>'Stacked 100%'!$C$7:$C$14</c:f>
              <c:numCache>
                <c:formatCode>0%</c:formatCode>
                <c:ptCount val="8"/>
                <c:pt idx="0">
                  <c:v>0</c:v>
                </c:pt>
                <c:pt idx="1">
                  <c:v>0</c:v>
                </c:pt>
                <c:pt idx="2">
                  <c:v>0</c:v>
                </c:pt>
                <c:pt idx="3">
                  <c:v>0</c:v>
                </c:pt>
                <c:pt idx="4">
                  <c:v>0</c:v>
                </c:pt>
                <c:pt idx="5">
                  <c:v>0</c:v>
                </c:pt>
                <c:pt idx="6">
                  <c:v>0</c:v>
                </c:pt>
                <c:pt idx="7">
                  <c:v>4.0470934510669611E-2</c:v>
                </c:pt>
              </c:numCache>
            </c:numRef>
          </c:val>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N=3</c:v>
                </c:pt>
                <c:pt idx="3">
                  <c:v>Petitions, total N=5</c:v>
                </c:pt>
                <c:pt idx="4">
                  <c:v>Detentions, total N=0</c:v>
                </c:pt>
                <c:pt idx="5">
                  <c:v>Referrals, total N=24</c:v>
                </c:pt>
                <c:pt idx="6">
                  <c:v>Arrests, total N=2</c:v>
                </c:pt>
                <c:pt idx="7">
                  <c:v>Population, total N=1359</c:v>
                </c:pt>
              </c:strCache>
            </c:strRef>
          </c:cat>
          <c:val>
            <c:numRef>
              <c:f>'Stacked 100%'!$H$7:$H$14</c:f>
              <c:numCache>
                <c:formatCode>0%</c:formatCode>
                <c:ptCount val="8"/>
                <c:pt idx="0">
                  <c:v>0</c:v>
                </c:pt>
                <c:pt idx="1">
                  <c:v>0</c:v>
                </c:pt>
                <c:pt idx="2">
                  <c:v>0.1111111111111111</c:v>
                </c:pt>
                <c:pt idx="3">
                  <c:v>0.04</c:v>
                </c:pt>
                <c:pt idx="4">
                  <c:v>0</c:v>
                </c:pt>
                <c:pt idx="5">
                  <c:v>1.736111111111111E-3</c:v>
                </c:pt>
                <c:pt idx="6">
                  <c:v>0.25</c:v>
                </c:pt>
                <c:pt idx="7">
                  <c:v>2.1116682666614687E-5</c:v>
                </c:pt>
              </c:numCache>
            </c:numRef>
          </c:val>
        </c:ser>
        <c:ser>
          <c:idx val="3"/>
          <c:order val="3"/>
          <c:tx>
            <c:strRef>
              <c:f>'Stacked 100%'!$I$6</c:f>
              <c:strCache>
                <c:ptCount val="1"/>
                <c:pt idx="0">
                  <c:v>White</c:v>
                </c:pt>
              </c:strCache>
            </c:strRef>
          </c:tx>
          <c:spPr>
            <a:solidFill>
              <a:srgbClr val="A6C9F7"/>
            </a:solidFill>
          </c:spPr>
          <c:invertIfNegative val="0"/>
          <c:dLbls>
            <c:txPr>
              <a:bodyPr/>
              <a:lstStyle/>
              <a:p>
                <a:pPr>
                  <a:defRPr>
                    <a:latin typeface="Palatino Linotype" pitchFamily="18" charset="0"/>
                  </a:defRPr>
                </a:pPr>
                <a:endParaRPr lang="en-US"/>
              </a:p>
            </c:txPr>
            <c:showLegendKey val="0"/>
            <c:showVal val="1"/>
            <c:showCatName val="0"/>
            <c:showSerName val="0"/>
            <c:showPercent val="0"/>
            <c:showBubbleSize val="0"/>
            <c:showLeaderLines val="0"/>
          </c:dLbls>
          <c:cat>
            <c:strRef>
              <c:f>'Stacked 100%'!$A$7:$A$14</c:f>
              <c:strCache>
                <c:ptCount val="8"/>
                <c:pt idx="0">
                  <c:v>Waivers, total N=0</c:v>
                </c:pt>
                <c:pt idx="1">
                  <c:v>Confinement, total N=0</c:v>
                </c:pt>
                <c:pt idx="2">
                  <c:v>Delinquent Findings, total N=3</c:v>
                </c:pt>
                <c:pt idx="3">
                  <c:v>Petitions, total N=5</c:v>
                </c:pt>
                <c:pt idx="4">
                  <c:v>Detentions, total N=0</c:v>
                </c:pt>
                <c:pt idx="5">
                  <c:v>Referrals, total N=24</c:v>
                </c:pt>
                <c:pt idx="6">
                  <c:v>Arrests, total N=2</c:v>
                </c:pt>
                <c:pt idx="7">
                  <c:v>Population, total N=1359</c:v>
                </c:pt>
              </c:strCache>
            </c:strRef>
          </c:cat>
          <c:val>
            <c:numRef>
              <c:f>'Stacked 100%'!$I$7:$I$14</c:f>
              <c:numCache>
                <c:formatCode>0%</c:formatCode>
                <c:ptCount val="8"/>
                <c:pt idx="0">
                  <c:v>0</c:v>
                </c:pt>
                <c:pt idx="1">
                  <c:v>0</c:v>
                </c:pt>
                <c:pt idx="2">
                  <c:v>0.66666666666666663</c:v>
                </c:pt>
                <c:pt idx="3">
                  <c:v>0.8</c:v>
                </c:pt>
                <c:pt idx="4">
                  <c:v>0</c:v>
                </c:pt>
                <c:pt idx="5">
                  <c:v>0.875</c:v>
                </c:pt>
                <c:pt idx="6">
                  <c:v>0.5</c:v>
                </c:pt>
                <c:pt idx="7">
                  <c:v>0.91243561442236942</c:v>
                </c:pt>
              </c:numCache>
            </c:numRef>
          </c:val>
        </c:ser>
        <c:dLbls>
          <c:showLegendKey val="0"/>
          <c:showVal val="0"/>
          <c:showCatName val="0"/>
          <c:showSerName val="0"/>
          <c:showPercent val="0"/>
          <c:showBubbleSize val="0"/>
        </c:dLbls>
        <c:gapWidth val="150"/>
        <c:overlap val="100"/>
        <c:axId val="133239168"/>
        <c:axId val="133240704"/>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N=3</c:v>
                </c:pt>
                <c:pt idx="3">
                  <c:v>Petitions, total N=5</c:v>
                </c:pt>
                <c:pt idx="4">
                  <c:v>Detentions, total N=0</c:v>
                </c:pt>
                <c:pt idx="5">
                  <c:v>Referrals, total N=24</c:v>
                </c:pt>
                <c:pt idx="6">
                  <c:v>Arrests, total N=2</c:v>
                </c:pt>
                <c:pt idx="7">
                  <c:v>Population, total N=1359</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overlap val="100"/>
        <c:axId val="133244032"/>
        <c:axId val="133242240"/>
      </c:barChart>
      <c:catAx>
        <c:axId val="13323916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33240704"/>
        <c:crosses val="autoZero"/>
        <c:auto val="1"/>
        <c:lblAlgn val="ctr"/>
        <c:lblOffset val="100"/>
        <c:noMultiLvlLbl val="0"/>
      </c:catAx>
      <c:valAx>
        <c:axId val="133240704"/>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33239168"/>
        <c:crosses val="autoZero"/>
        <c:crossBetween val="between"/>
      </c:valAx>
      <c:valAx>
        <c:axId val="133242240"/>
        <c:scaling>
          <c:orientation val="minMax"/>
        </c:scaling>
        <c:delete val="1"/>
        <c:axPos val="t"/>
        <c:numFmt formatCode="0%" sourceLinked="1"/>
        <c:majorTickMark val="out"/>
        <c:minorTickMark val="none"/>
        <c:tickLblPos val="nextTo"/>
        <c:crossAx val="133244032"/>
        <c:crosses val="max"/>
        <c:crossBetween val="between"/>
      </c:valAx>
      <c:catAx>
        <c:axId val="133244032"/>
        <c:scaling>
          <c:orientation val="minMax"/>
        </c:scaling>
        <c:delete val="1"/>
        <c:axPos val="l"/>
        <c:majorTickMark val="out"/>
        <c:minorTickMark val="none"/>
        <c:tickLblPos val="nextTo"/>
        <c:crossAx val="133242240"/>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42"/>
  <sheetViews>
    <sheetView zoomScaleNormal="100" workbookViewId="0">
      <selection activeCell="B7" sqref="B7"/>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7" t="s">
        <v>1</v>
      </c>
      <c r="C1" s="177"/>
      <c r="D1" s="177"/>
      <c r="E1" s="177"/>
      <c r="F1" s="177"/>
      <c r="G1" s="177"/>
      <c r="H1" s="177"/>
    </row>
    <row r="2" spans="1:11" ht="15" customHeight="1" x14ac:dyDescent="0.25">
      <c r="A2" s="3" t="s">
        <v>122</v>
      </c>
      <c r="B2" s="4"/>
      <c r="C2" s="4"/>
      <c r="D2" s="4"/>
      <c r="E2" s="4"/>
      <c r="F2" s="4"/>
    </row>
    <row r="3" spans="1:11" ht="15" customHeight="1" x14ac:dyDescent="0.25">
      <c r="A3" s="142" t="s">
        <v>140</v>
      </c>
      <c r="B3" s="4"/>
      <c r="C3" s="5" t="s">
        <v>107</v>
      </c>
      <c r="D3" s="6"/>
      <c r="E3" s="6"/>
      <c r="F3" s="6"/>
      <c r="G3" s="7"/>
      <c r="H3" s="7"/>
    </row>
    <row r="4" spans="1:11" ht="15" customHeight="1" x14ac:dyDescent="0.25">
      <c r="A4" s="4"/>
      <c r="B4" s="4"/>
      <c r="C4" s="178" t="s">
        <v>138</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1359</v>
      </c>
      <c r="C6" s="11">
        <v>1240</v>
      </c>
      <c r="D6" s="11">
        <v>25</v>
      </c>
      <c r="E6" s="11">
        <v>55</v>
      </c>
      <c r="F6" s="11">
        <v>9</v>
      </c>
      <c r="G6" s="11"/>
      <c r="H6" s="11">
        <v>30</v>
      </c>
      <c r="I6" s="11"/>
      <c r="J6" s="91">
        <f>SUM(D6:I6)</f>
        <v>119</v>
      </c>
      <c r="K6" s="92"/>
    </row>
    <row r="7" spans="1:11" ht="15.75" customHeight="1" thickBot="1" x14ac:dyDescent="0.25">
      <c r="A7" s="10" t="s">
        <v>8</v>
      </c>
      <c r="B7" s="11">
        <f t="shared" ref="B7:B15" si="0">SUM(C7:I7)+K7</f>
        <v>2</v>
      </c>
      <c r="C7" s="11">
        <v>1</v>
      </c>
      <c r="D7" s="11">
        <v>0</v>
      </c>
      <c r="E7" s="11">
        <v>0</v>
      </c>
      <c r="F7" s="11">
        <v>1</v>
      </c>
      <c r="G7" s="11"/>
      <c r="H7" s="11"/>
      <c r="I7" s="11"/>
      <c r="J7" s="91">
        <f t="shared" ref="J7:J15" si="1">SUM(D7:I7)</f>
        <v>1</v>
      </c>
      <c r="K7" s="92"/>
    </row>
    <row r="8" spans="1:11" ht="15.75" customHeight="1" thickBot="1" x14ac:dyDescent="0.25">
      <c r="A8" s="10" t="s">
        <v>9</v>
      </c>
      <c r="B8" s="11">
        <f t="shared" si="0"/>
        <v>24</v>
      </c>
      <c r="C8" s="11">
        <v>21</v>
      </c>
      <c r="D8" s="11">
        <v>0</v>
      </c>
      <c r="E8" s="11">
        <v>0</v>
      </c>
      <c r="F8" s="11">
        <v>0</v>
      </c>
      <c r="G8" s="11">
        <v>0</v>
      </c>
      <c r="H8" s="11">
        <v>1</v>
      </c>
      <c r="I8" s="11"/>
      <c r="J8" s="91">
        <f t="shared" si="1"/>
        <v>1</v>
      </c>
      <c r="K8" s="92">
        <v>2</v>
      </c>
    </row>
    <row r="9" spans="1:11" ht="15.75" customHeight="1" thickBot="1" x14ac:dyDescent="0.25">
      <c r="A9" s="10" t="s">
        <v>10</v>
      </c>
      <c r="B9" s="11">
        <f t="shared" si="0"/>
        <v>4</v>
      </c>
      <c r="C9" s="11">
        <v>4</v>
      </c>
      <c r="D9" s="11">
        <v>0</v>
      </c>
      <c r="E9" s="11">
        <v>0</v>
      </c>
      <c r="F9" s="11">
        <v>0</v>
      </c>
      <c r="G9" s="11">
        <v>0</v>
      </c>
      <c r="H9" s="11">
        <v>0</v>
      </c>
      <c r="I9" s="11"/>
      <c r="J9" s="91">
        <f t="shared" si="1"/>
        <v>0</v>
      </c>
      <c r="K9" s="92">
        <v>0</v>
      </c>
    </row>
    <row r="10" spans="1:11" ht="15.75" customHeight="1" thickBot="1" x14ac:dyDescent="0.25">
      <c r="A10" s="10" t="s">
        <v>11</v>
      </c>
      <c r="B10" s="11">
        <f t="shared" si="0"/>
        <v>0</v>
      </c>
      <c r="C10" s="11">
        <v>0</v>
      </c>
      <c r="D10" s="11">
        <v>0</v>
      </c>
      <c r="E10" s="11">
        <v>0</v>
      </c>
      <c r="F10" s="11">
        <v>0</v>
      </c>
      <c r="G10" s="11">
        <v>0</v>
      </c>
      <c r="H10" s="11">
        <v>0</v>
      </c>
      <c r="I10" s="11"/>
      <c r="J10" s="91">
        <f t="shared" si="1"/>
        <v>0</v>
      </c>
      <c r="K10" s="92">
        <v>0</v>
      </c>
    </row>
    <row r="11" spans="1:11" ht="15.75" customHeight="1" thickBot="1" x14ac:dyDescent="0.25">
      <c r="A11" s="10" t="s">
        <v>12</v>
      </c>
      <c r="B11" s="11">
        <f t="shared" si="0"/>
        <v>5</v>
      </c>
      <c r="C11" s="11">
        <v>4</v>
      </c>
      <c r="D11" s="11">
        <v>0</v>
      </c>
      <c r="E11" s="11">
        <v>0</v>
      </c>
      <c r="F11" s="11">
        <v>0</v>
      </c>
      <c r="G11" s="11">
        <v>0</v>
      </c>
      <c r="H11" s="11">
        <v>1</v>
      </c>
      <c r="I11" s="11"/>
      <c r="J11" s="91">
        <f t="shared" si="1"/>
        <v>1</v>
      </c>
      <c r="K11" s="92">
        <v>0</v>
      </c>
    </row>
    <row r="12" spans="1:11" ht="15.75" customHeight="1" thickBot="1" x14ac:dyDescent="0.25">
      <c r="A12" s="10" t="s">
        <v>13</v>
      </c>
      <c r="B12" s="11">
        <f t="shared" si="0"/>
        <v>3</v>
      </c>
      <c r="C12" s="11">
        <v>2</v>
      </c>
      <c r="D12" s="11">
        <v>0</v>
      </c>
      <c r="E12" s="11">
        <v>0</v>
      </c>
      <c r="F12" s="11">
        <v>0</v>
      </c>
      <c r="G12" s="11">
        <v>0</v>
      </c>
      <c r="H12" s="11">
        <v>1</v>
      </c>
      <c r="I12" s="11"/>
      <c r="J12" s="91">
        <f t="shared" si="1"/>
        <v>1</v>
      </c>
      <c r="K12" s="92">
        <v>0</v>
      </c>
    </row>
    <row r="13" spans="1:11" ht="15.75" customHeight="1" thickBot="1" x14ac:dyDescent="0.25">
      <c r="A13" s="10" t="s">
        <v>133</v>
      </c>
      <c r="B13" s="11">
        <f t="shared" si="0"/>
        <v>13</v>
      </c>
      <c r="C13" s="11">
        <v>11</v>
      </c>
      <c r="D13" s="11">
        <v>0</v>
      </c>
      <c r="E13" s="11">
        <v>0</v>
      </c>
      <c r="F13" s="11">
        <v>0</v>
      </c>
      <c r="G13" s="11">
        <v>0</v>
      </c>
      <c r="H13" s="11">
        <v>1</v>
      </c>
      <c r="I13" s="11"/>
      <c r="J13" s="91">
        <f t="shared" si="1"/>
        <v>1</v>
      </c>
      <c r="K13" s="92">
        <v>1</v>
      </c>
    </row>
    <row r="14" spans="1:11" ht="26.25" customHeight="1" thickBot="1" x14ac:dyDescent="0.25">
      <c r="A14" s="10" t="s">
        <v>123</v>
      </c>
      <c r="B14" s="11">
        <f t="shared" si="0"/>
        <v>0</v>
      </c>
      <c r="C14" s="11">
        <v>0</v>
      </c>
      <c r="D14" s="11">
        <v>0</v>
      </c>
      <c r="E14" s="11">
        <v>0</v>
      </c>
      <c r="F14" s="11">
        <v>0</v>
      </c>
      <c r="G14" s="11">
        <v>0</v>
      </c>
      <c r="H14" s="11">
        <v>0</v>
      </c>
      <c r="I14" s="11"/>
      <c r="J14" s="91">
        <f t="shared" si="1"/>
        <v>0</v>
      </c>
      <c r="K14" s="92">
        <v>0</v>
      </c>
    </row>
    <row r="15" spans="1:11" ht="15.75" customHeight="1" thickBot="1" x14ac:dyDescent="0.25">
      <c r="A15" s="10" t="s">
        <v>16</v>
      </c>
      <c r="B15" s="11">
        <f t="shared" si="0"/>
        <v>0</v>
      </c>
      <c r="C15" s="11">
        <v>0</v>
      </c>
      <c r="D15" s="11">
        <v>0</v>
      </c>
      <c r="E15" s="11">
        <v>0</v>
      </c>
      <c r="F15" s="11">
        <v>0</v>
      </c>
      <c r="G15" s="11">
        <v>0</v>
      </c>
      <c r="H15" s="11">
        <v>0</v>
      </c>
      <c r="I15" s="11"/>
      <c r="J15" s="91">
        <f t="shared" si="1"/>
        <v>0</v>
      </c>
      <c r="K15" s="92">
        <v>0</v>
      </c>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6" t="s">
        <v>139</v>
      </c>
      <c r="B19" s="176"/>
      <c r="C19" s="8"/>
      <c r="D19" s="176" t="s">
        <v>137</v>
      </c>
      <c r="E19" s="176"/>
      <c r="F19" s="176"/>
      <c r="G19" s="176"/>
      <c r="H19" s="176"/>
      <c r="I19" s="176"/>
    </row>
    <row r="20" spans="1:9" ht="15" customHeight="1" x14ac:dyDescent="0.25">
      <c r="A20" s="176" t="s">
        <v>108</v>
      </c>
      <c r="B20" s="176"/>
      <c r="C20" s="8"/>
      <c r="D20" s="176" t="s">
        <v>109</v>
      </c>
      <c r="E20" s="176"/>
      <c r="F20" s="176"/>
      <c r="G20" s="176"/>
      <c r="H20" s="176"/>
      <c r="I20" s="176"/>
    </row>
    <row r="21" spans="1:9" ht="15" customHeight="1" x14ac:dyDescent="0.25">
      <c r="A21" s="176" t="s">
        <v>110</v>
      </c>
      <c r="B21" s="176"/>
      <c r="C21" s="8"/>
      <c r="D21" s="176" t="s">
        <v>111</v>
      </c>
      <c r="E21" s="176"/>
      <c r="F21" s="176"/>
      <c r="G21" s="176"/>
      <c r="H21" s="176"/>
      <c r="I21" s="176"/>
    </row>
    <row r="22" spans="1:9" ht="15" customHeight="1" x14ac:dyDescent="0.25">
      <c r="A22" s="176" t="s">
        <v>112</v>
      </c>
      <c r="B22" s="176"/>
      <c r="C22" s="8"/>
      <c r="D22" s="176" t="s">
        <v>113</v>
      </c>
      <c r="E22" s="176"/>
      <c r="F22" s="176"/>
      <c r="G22" s="176"/>
      <c r="H22" s="176"/>
      <c r="I22" s="176"/>
    </row>
    <row r="23" spans="1:9" ht="15" customHeight="1" x14ac:dyDescent="0.25">
      <c r="A23" s="176" t="s">
        <v>114</v>
      </c>
      <c r="B23" s="176"/>
      <c r="C23" s="8"/>
      <c r="D23" s="176" t="s">
        <v>115</v>
      </c>
      <c r="E23" s="176"/>
      <c r="F23" s="176"/>
      <c r="G23" s="176"/>
      <c r="H23" s="176"/>
      <c r="I23" s="176"/>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1240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0.80645161290322587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1239</v>
      </c>
      <c r="R7" s="42">
        <f t="shared" ref="R7:R15" si="5">SUM(N7:Q7)</f>
        <v>1240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21</v>
      </c>
      <c r="D8" s="34">
        <f>IF((AND(C67&gt;0,C8&gt;0)),(C8/C67),0)</f>
        <v>2100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-20</v>
      </c>
      <c r="R8" s="42">
        <f t="shared" si="5"/>
        <v>1.0500000000000007</v>
      </c>
      <c r="S8" s="30">
        <f t="shared" si="6"/>
        <v>1.1576250000000008</v>
      </c>
      <c r="T8" s="30">
        <f t="shared" si="7"/>
        <v>-20.947500000000002</v>
      </c>
      <c r="U8" s="31">
        <f t="shared" si="8"/>
        <v>-5.5263157894736875E-2</v>
      </c>
    </row>
    <row r="9" spans="2:21" ht="18" customHeight="1" x14ac:dyDescent="0.25">
      <c r="B9" s="32" t="str">
        <f>'Data Entry'!A9</f>
        <v xml:space="preserve">4. Cases Diverted </v>
      </c>
      <c r="C9" s="33">
        <f>'Data Entry'!C9</f>
        <v>4</v>
      </c>
      <c r="D9" s="34">
        <f>IF((AND(C68&gt;0,C9&gt;0)),((C9/C68)),0)</f>
        <v>19.047619047619047</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17</v>
      </c>
      <c r="R9" s="42">
        <f t="shared" si="5"/>
        <v>21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19.047619047619047</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17</v>
      </c>
      <c r="R11" s="42">
        <f t="shared" si="5"/>
        <v>21</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50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11</v>
      </c>
      <c r="D13" s="34">
        <f>IF(((AND(C70&gt;0,C13&gt;0))),(C13/(C70)),0)</f>
        <v>550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-9</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1.24</v>
      </c>
      <c r="D42" s="56">
        <f>E6/1000</f>
        <v>0</v>
      </c>
      <c r="E42" s="56">
        <f>MAX(C42:D42)</f>
        <v>1.24</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1.24</v>
      </c>
      <c r="D48" s="56">
        <f>D42</f>
        <v>0</v>
      </c>
      <c r="E48" s="56">
        <f>MAX(C48:D48)</f>
        <v>1.24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1.24</v>
      </c>
      <c r="D54" s="56">
        <f>D48</f>
        <v>0</v>
      </c>
      <c r="E54" s="56">
        <f>MAX(C54:D54)</f>
        <v>1.24</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1.24</v>
      </c>
      <c r="D60" s="56">
        <f>D54</f>
        <v>0</v>
      </c>
      <c r="E60" s="56">
        <f>MAX(C60:D60)</f>
        <v>1.24</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1.24</v>
      </c>
      <c r="D66" s="56">
        <f>D60</f>
        <v>0</v>
      </c>
      <c r="E66" s="56">
        <f>MAX(C66:D66)</f>
        <v>1.24</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1240</v>
      </c>
      <c r="D6" s="34"/>
      <c r="E6" s="33">
        <f>'Data Entry'!J6</f>
        <v>119</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0.80645161290322587</v>
      </c>
      <c r="E7" s="33">
        <f>'Data Entry'!J7</f>
        <v>1</v>
      </c>
      <c r="F7" s="34">
        <f>IF((AND($E$7&gt;0,$D$66&gt;0)),($E$7/$D$66),0)</f>
        <v>8.4033613445378155</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1</v>
      </c>
      <c r="O7" s="42">
        <f>E6-E7</f>
        <v>118</v>
      </c>
      <c r="P7" s="42">
        <f t="shared" ref="P7:P15" si="4">C7</f>
        <v>1</v>
      </c>
      <c r="Q7" s="42">
        <f>C6-C7</f>
        <v>1239</v>
      </c>
      <c r="R7" s="42">
        <f t="shared" ref="R7:R15" si="5">SUM(N7:Q7)</f>
        <v>1359</v>
      </c>
      <c r="S7" s="30">
        <f t="shared" ref="S7:S15" si="6">R7*((((N7*Q7)-(O7*P7))^2))</f>
        <v>1707775119</v>
      </c>
      <c r="T7" s="30">
        <f t="shared" ref="T7:T15" si="7">(N7+O7)*(P7+Q7)*(N7+P7)*(O7+Q7)</f>
        <v>400477840</v>
      </c>
      <c r="U7" s="31">
        <f t="shared" ref="U7:U15" si="8">IF((S7&gt;0),S7/T7,"- -")</f>
        <v>4.2643436126203635</v>
      </c>
    </row>
    <row r="8" spans="2:21" ht="18" customHeight="1" x14ac:dyDescent="0.25">
      <c r="B8" s="32" t="str">
        <f>'Data Entry'!A8</f>
        <v>3. Refer to Juvenile Court</v>
      </c>
      <c r="C8" s="33">
        <f>'Data Entry'!C8</f>
        <v>21</v>
      </c>
      <c r="D8" s="34">
        <f>IF((AND(C67&gt;0,C8&gt;0)),(C8/C67),0)</f>
        <v>2100</v>
      </c>
      <c r="E8" s="33">
        <f>'Data Entry'!J8</f>
        <v>1</v>
      </c>
      <c r="F8" s="34">
        <f>IF((AND($E$8&gt;0,$D$67&gt;0)),($E8/$D67),0)</f>
        <v>100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0.05</v>
      </c>
      <c r="P8" s="42">
        <f t="shared" si="4"/>
        <v>21</v>
      </c>
      <c r="Q8" s="42">
        <f>(C$67*L67)-C8</f>
        <v>-20</v>
      </c>
      <c r="R8" s="42">
        <f t="shared" si="5"/>
        <v>2.0500000000000007</v>
      </c>
      <c r="S8" s="30">
        <f t="shared" si="6"/>
        <v>908.36012500000038</v>
      </c>
      <c r="T8" s="30">
        <f t="shared" si="7"/>
        <v>-460.84500000000003</v>
      </c>
      <c r="U8" s="31">
        <f t="shared" si="8"/>
        <v>-1.9710751445713859</v>
      </c>
    </row>
    <row r="9" spans="2:21" ht="18" customHeight="1" x14ac:dyDescent="0.25">
      <c r="B9" s="32" t="str">
        <f>'Data Entry'!A9</f>
        <v xml:space="preserve">4. Cases Diverted </v>
      </c>
      <c r="C9" s="33">
        <f>'Data Entry'!C9</f>
        <v>4</v>
      </c>
      <c r="D9" s="34">
        <f>IF((AND(C68&gt;0,C9&gt;0)),((C9/C68)),0)</f>
        <v>19.047619047619047</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4</v>
      </c>
      <c r="Q9" s="42">
        <f>(C$68*L68)-C9</f>
        <v>17</v>
      </c>
      <c r="R9" s="42">
        <f t="shared" si="5"/>
        <v>22</v>
      </c>
      <c r="S9" s="30">
        <f t="shared" si="6"/>
        <v>352</v>
      </c>
      <c r="T9" s="30">
        <f t="shared" si="7"/>
        <v>1512</v>
      </c>
      <c r="U9" s="31">
        <f t="shared" si="8"/>
        <v>0.23280423280423279</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21</v>
      </c>
      <c r="R10" s="42">
        <f t="shared" si="5"/>
        <v>22</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19.047619047619047</v>
      </c>
      <c r="E11" s="33">
        <f>'Data Entry'!J11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4</v>
      </c>
      <c r="Q11" s="42">
        <f>(C$68*L68)-C11</f>
        <v>17</v>
      </c>
      <c r="R11" s="42">
        <f t="shared" si="5"/>
        <v>22</v>
      </c>
      <c r="S11" s="30">
        <f t="shared" si="6"/>
        <v>6358</v>
      </c>
      <c r="T11" s="30">
        <f t="shared" si="7"/>
        <v>1785</v>
      </c>
      <c r="U11" s="31">
        <f t="shared" si="8"/>
        <v>3.5619047619047617</v>
      </c>
    </row>
    <row r="12" spans="2:21" ht="18" customHeight="1" x14ac:dyDescent="0.25">
      <c r="B12" s="32" t="str">
        <f>'Data Entry'!A12</f>
        <v>7. Cases Resulting in Delinquent Findings</v>
      </c>
      <c r="C12" s="33">
        <f>'Data Entry'!C12</f>
        <v>2</v>
      </c>
      <c r="D12" s="34">
        <f>IF(((AND(C69&gt;0,C12&gt;0))),(C12/(C69)),0)</f>
        <v>50</v>
      </c>
      <c r="E12" s="33">
        <f>'Data Entry'!J12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2</v>
      </c>
      <c r="Q12" s="42">
        <f>(C69*L69)-C12</f>
        <v>2</v>
      </c>
      <c r="R12" s="42">
        <f t="shared" si="5"/>
        <v>5</v>
      </c>
      <c r="S12" s="30">
        <f t="shared" si="6"/>
        <v>20</v>
      </c>
      <c r="T12" s="30">
        <f t="shared" si="7"/>
        <v>24</v>
      </c>
      <c r="U12" s="31">
        <f t="shared" si="8"/>
        <v>0.83333333333333337</v>
      </c>
    </row>
    <row r="13" spans="2:21" ht="18" customHeight="1" x14ac:dyDescent="0.25">
      <c r="B13" s="32" t="str">
        <f>'Data Entry'!A13</f>
        <v>8. Cases Resulting in Probation Placement</v>
      </c>
      <c r="C13" s="33">
        <f>'Data Entry'!C13</f>
        <v>11</v>
      </c>
      <c r="D13" s="34">
        <f>IF(((AND(C70&gt;0,C13&gt;0))),(C13/(C70)),0)</f>
        <v>550</v>
      </c>
      <c r="E13" s="33">
        <f>'Data Entry'!J13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11</v>
      </c>
      <c r="Q13" s="42">
        <f>(C70*L70)-C13</f>
        <v>-9</v>
      </c>
      <c r="R13" s="42">
        <f t="shared" si="5"/>
        <v>3</v>
      </c>
      <c r="S13" s="30">
        <f t="shared" si="6"/>
        <v>243</v>
      </c>
      <c r="T13" s="30">
        <f t="shared" si="7"/>
        <v>-216</v>
      </c>
      <c r="U13" s="31">
        <f t="shared" si="8"/>
        <v>-1.125</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v>
      </c>
      <c r="R15" s="42">
        <f t="shared" si="5"/>
        <v>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1.24</v>
      </c>
      <c r="D42" s="56">
        <f>E6/1000</f>
        <v>0.11899999999999999</v>
      </c>
      <c r="E42" s="56">
        <f>MAX(C42:D42)</f>
        <v>1.24</v>
      </c>
      <c r="G42" s="1" t="str">
        <f>B42</f>
        <v>per 1000 youth</v>
      </c>
      <c r="L42" s="57">
        <v>1000</v>
      </c>
      <c r="M42" s="57"/>
      <c r="R42" s="49"/>
    </row>
    <row r="43" spans="2:18" ht="15" hidden="1" customHeight="1" x14ac:dyDescent="0.25">
      <c r="B43" s="49" t="s">
        <v>87</v>
      </c>
      <c r="C43" s="56">
        <f>C7/100</f>
        <v>0.01</v>
      </c>
      <c r="D43" s="56">
        <f>E7/100</f>
        <v>0.01</v>
      </c>
      <c r="E43" s="56">
        <f>MAX(C43:D43,0)</f>
        <v>0.01</v>
      </c>
      <c r="G43" s="1" t="str">
        <f>B43</f>
        <v>per 100 arrests</v>
      </c>
      <c r="L43" s="57">
        <v>100</v>
      </c>
      <c r="M43" s="57"/>
      <c r="R43" s="49"/>
    </row>
    <row r="44" spans="2:18" ht="15" hidden="1" customHeight="1" x14ac:dyDescent="0.25">
      <c r="B44" s="49" t="s">
        <v>88</v>
      </c>
      <c r="C44" s="56">
        <f>C8/100</f>
        <v>0.21</v>
      </c>
      <c r="D44" s="56">
        <f>E8/100</f>
        <v>0.01</v>
      </c>
      <c r="E44" s="56">
        <f>MAX(C44:D44,0)</f>
        <v>0.21</v>
      </c>
      <c r="G44" s="1" t="str">
        <f>B44</f>
        <v>per 100 referrals</v>
      </c>
      <c r="L44" s="57">
        <v>100</v>
      </c>
      <c r="M44" s="57"/>
      <c r="R44" s="49"/>
    </row>
    <row r="45" spans="2:18" ht="15" hidden="1" customHeight="1" x14ac:dyDescent="0.25">
      <c r="B45" s="49" t="s">
        <v>89</v>
      </c>
      <c r="C45" s="49">
        <f>C11/100</f>
        <v>0.04</v>
      </c>
      <c r="D45" s="49">
        <f>E11/100</f>
        <v>0.01</v>
      </c>
      <c r="E45" s="56">
        <f>MAX(C45:D45,0)</f>
        <v>0.04</v>
      </c>
      <c r="G45" s="1" t="str">
        <f>B45</f>
        <v>per 100 youth petitioned</v>
      </c>
      <c r="L45" s="57">
        <v>100</v>
      </c>
      <c r="M45" s="57"/>
      <c r="R45" s="49"/>
    </row>
    <row r="46" spans="2:18" ht="15" hidden="1" customHeight="1" x14ac:dyDescent="0.25">
      <c r="B46" s="49" t="s">
        <v>90</v>
      </c>
      <c r="C46" s="49">
        <f>C12/100</f>
        <v>0.02</v>
      </c>
      <c r="D46" s="49">
        <f>E12/100</f>
        <v>0.01</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1.24</v>
      </c>
      <c r="D48" s="56">
        <f>D42</f>
        <v>0.11899999999999999</v>
      </c>
      <c r="E48" s="56">
        <f>MAX(C48:D48)</f>
        <v>1.24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0.01</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0.01</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0.01</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0.01</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1.24</v>
      </c>
      <c r="D54" s="56">
        <f>D48</f>
        <v>0.11899999999999999</v>
      </c>
      <c r="E54" s="56">
        <f>MAX(C54:D54)</f>
        <v>1.24</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0.01</v>
      </c>
      <c r="E55" s="49">
        <f>MAX(C55:D55)</f>
        <v>0.01</v>
      </c>
      <c r="G55" s="1" t="str">
        <f>G49</f>
        <v>per 100 arrests</v>
      </c>
      <c r="L55" s="58">
        <f>IF(($E49&gt;0),L49,L48)</f>
        <v>100</v>
      </c>
      <c r="M55" s="58"/>
    </row>
    <row r="56" spans="2:18" ht="15" hidden="1" customHeight="1" x14ac:dyDescent="0.25">
      <c r="B56" s="49" t="str">
        <f t="shared" si="10"/>
        <v>per 100 referrals</v>
      </c>
      <c r="C56" s="49">
        <f t="shared" si="10"/>
        <v>0.21</v>
      </c>
      <c r="D56" s="49">
        <f t="shared" si="10"/>
        <v>0.01</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0.01</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0.01</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1.24</v>
      </c>
      <c r="D60" s="56">
        <f>D54</f>
        <v>0.11899999999999999</v>
      </c>
      <c r="E60" s="56">
        <f>MAX(C60:D60)</f>
        <v>1.24</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0.01</v>
      </c>
      <c r="E61" s="49">
        <f>MAX(C61:D61)</f>
        <v>0.01</v>
      </c>
      <c r="G61" s="1" t="str">
        <f>G55</f>
        <v>per 100 arrests</v>
      </c>
      <c r="L61" s="58">
        <f>IF(($E55&gt;0),L55,L54)</f>
        <v>100</v>
      </c>
      <c r="M61" s="58"/>
    </row>
    <row r="62" spans="2:18" ht="15" hidden="1" customHeight="1" x14ac:dyDescent="0.25">
      <c r="B62" s="49" t="str">
        <f t="shared" si="11"/>
        <v>per 100 referrals</v>
      </c>
      <c r="C62" s="49">
        <f t="shared" si="11"/>
        <v>0.21</v>
      </c>
      <c r="D62" s="49">
        <f t="shared" si="11"/>
        <v>0.01</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0.01</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0.01</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1.24</v>
      </c>
      <c r="D66" s="56">
        <f>D60</f>
        <v>0.11899999999999999</v>
      </c>
      <c r="E66" s="56">
        <f>MAX(C66:D66)</f>
        <v>1.24</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0.01</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0.01</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0.01</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0.01</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10/1/17 through 9/30/18</v>
      </c>
      <c r="I4" s="67"/>
    </row>
    <row r="5" spans="2:18" ht="15" customHeight="1" x14ac:dyDescent="0.25">
      <c r="B5" s="66" t="str">
        <f>'Data Entry'!A3</f>
        <v>County: Benzie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119</v>
      </c>
      <c r="O7" s="1" t="e">
        <f>Hawaiian!L7</f>
        <v>#VALUE!</v>
      </c>
      <c r="P7" s="1">
        <f>'Am Indian'!L7</f>
        <v>40</v>
      </c>
      <c r="Q7" s="1" t="e">
        <f>'Other - Mixed'!L7</f>
        <v>#VALUE!</v>
      </c>
      <c r="R7" s="1">
        <f>'All Minorities'!L7</f>
        <v>20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f>'Am Indian'!L9</f>
        <v>40</v>
      </c>
      <c r="Q9" s="1" t="e">
        <f>'Other - Mixed'!L9</f>
        <v>#VALUE!</v>
      </c>
      <c r="R9" s="1">
        <f>'All Minorities'!L9</f>
        <v>40</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f>'Am Indian'!L11</f>
        <v>40</v>
      </c>
      <c r="Q11" s="1" t="e">
        <f>'Other - Mixed'!L11</f>
        <v>#VALUE!</v>
      </c>
      <c r="R11" s="1">
        <f>'All Minorities'!L11</f>
        <v>40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f>'Am Indian'!L12</f>
        <v>40</v>
      </c>
      <c r="Q12" s="1" t="e">
        <f>'Other - Mixed'!L12</f>
        <v>#VALUE!</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f>'Am Indian'!L13</f>
        <v>40</v>
      </c>
      <c r="Q13" s="1" t="e">
        <f>'Other - Mixed'!L13</f>
        <v>#VALUE!</v>
      </c>
      <c r="R13" s="1">
        <f>'All Minorities'!L13</f>
        <v>40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1359</v>
      </c>
      <c r="D3" s="57">
        <f>'Data Entry'!C6</f>
        <v>1240</v>
      </c>
      <c r="E3" s="57">
        <f>'Data Entry'!D6</f>
        <v>25</v>
      </c>
      <c r="F3" s="57">
        <f>'Data Entry'!E6</f>
        <v>55</v>
      </c>
      <c r="G3" s="57">
        <f>'Data Entry'!F6</f>
        <v>9</v>
      </c>
      <c r="H3" s="57">
        <f>'Data Entry'!G6</f>
        <v>0</v>
      </c>
      <c r="I3" s="57">
        <f>'Data Entry'!H6</f>
        <v>30</v>
      </c>
      <c r="J3" s="57">
        <f>'Data Entry'!I6</f>
        <v>0</v>
      </c>
      <c r="K3" s="57">
        <f>'Data Entry'!J6</f>
        <v>119</v>
      </c>
    </row>
    <row r="4" spans="2:11" ht="15" customHeight="1" x14ac:dyDescent="0.25">
      <c r="B4" s="16" t="s">
        <v>8</v>
      </c>
      <c r="C4" s="1">
        <f>IF((C$3&gt;0),(1000*('Data Entry'!B7/'Data Entry'!B$6)), 0)</f>
        <v>1.4716703458425313</v>
      </c>
      <c r="D4" s="1">
        <f>IF((D$3&gt;0),(1000*('Data Entry'!C7/'Data Entry'!C$6)), 0)</f>
        <v>0.80645161290322576</v>
      </c>
      <c r="E4" s="1">
        <f>IF((E$3&gt;0),(1000*('Data Entry'!D7/'Data Entry'!D$6)), 0)</f>
        <v>0</v>
      </c>
      <c r="F4" s="1">
        <f>IF((F$3&gt;0),(1000*('Data Entry'!E7/'Data Entry'!E$6)), 0)</f>
        <v>0</v>
      </c>
      <c r="G4" s="1">
        <f>IF((G$3&gt;0),(1000*('Data Entry'!F7/'Data Entry'!F$6)), 0)</f>
        <v>111.1111111111111</v>
      </c>
      <c r="H4" s="1">
        <f>IF((H$3&gt;0),(1000*('Data Entry'!G7/'Data Entry'!G$6)), 0)</f>
        <v>0</v>
      </c>
      <c r="I4" s="1">
        <f>IF((I$3&gt;0),(1000*('Data Entry'!H7/'Data Entry'!H$6)), 0)</f>
        <v>0</v>
      </c>
      <c r="J4" s="1">
        <f>IF((J$3&gt;0),(1000*('Data Entry'!I7/'Data Entry'!I$6)), 0)</f>
        <v>0</v>
      </c>
      <c r="K4" s="1">
        <f>IF((K$3&gt;0),(1000*('Data Entry'!J7/'Data Entry'!J$6)), 0)</f>
        <v>8.4033613445378155</v>
      </c>
    </row>
    <row r="5" spans="2:11" ht="15" customHeight="1" x14ac:dyDescent="0.25">
      <c r="B5" s="16" t="s">
        <v>9</v>
      </c>
      <c r="C5" s="1">
        <f>IF((C$3&gt;0),(1000*('Data Entry'!B8/'Data Entry'!B$6)), 0)</f>
        <v>17.660044150110377</v>
      </c>
      <c r="D5" s="1">
        <f>IF((D$3&gt;0),(1000*('Data Entry'!C8/'Data Entry'!C$6)), 0)</f>
        <v>16.935483870967744</v>
      </c>
      <c r="E5" s="1">
        <f>IF((E$3&gt;0),(1000*('Data Entry'!D8/'Data Entry'!D$6)), 0)</f>
        <v>0</v>
      </c>
      <c r="F5" s="1">
        <f>IF((F$3&gt;0),(1000*('Data Entry'!E8/'Data Entry'!E$6)), 0)</f>
        <v>0</v>
      </c>
      <c r="G5" s="1">
        <f>IF((G$3&gt;0),(1000*('Data Entry'!F8/'Data Entry'!F$6)), 0)</f>
        <v>0</v>
      </c>
      <c r="H5" s="1">
        <f>IF((H$3&gt;0),(1000*('Data Entry'!G8/'Data Entry'!G$6)), 0)</f>
        <v>0</v>
      </c>
      <c r="I5" s="1">
        <f>IF((I$3&gt;0),(1000*('Data Entry'!H8/'Data Entry'!H$6)), 0)</f>
        <v>33.333333333333336</v>
      </c>
      <c r="J5" s="1">
        <f>IF((J$3&gt;0),(1000*('Data Entry'!I8/'Data Entry'!I$6)), 0)</f>
        <v>0</v>
      </c>
      <c r="K5" s="1">
        <f>IF((K$3&gt;0),(1000*('Data Entry'!J8/'Data Entry'!J$6)), 0)</f>
        <v>8.4033613445378155</v>
      </c>
    </row>
    <row r="6" spans="2:11" ht="15" customHeight="1" x14ac:dyDescent="0.25">
      <c r="B6" s="16" t="s">
        <v>10</v>
      </c>
      <c r="C6" s="1">
        <f>IF((C$3&gt;0),(1000*('Data Entry'!B9/'Data Entry'!B$6)), 0)</f>
        <v>2.9433406916850626</v>
      </c>
      <c r="D6" s="1">
        <f>IF((D$3&gt;0),(1000*('Data Entry'!C9/'Data Entry'!C$6)), 0)</f>
        <v>3.225806451612903</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3.6791758646063282</v>
      </c>
      <c r="D8" s="1">
        <f>IF((D$3&gt;0),(1000*('Data Entry'!C11/'Data Entry'!C$6)), 0)</f>
        <v>3.225806451612903</v>
      </c>
      <c r="E8" s="1">
        <f>IF((E$3&gt;0),(1000*('Data Entry'!D11/'Data Entry'!D$6)), 0)</f>
        <v>0</v>
      </c>
      <c r="F8" s="1">
        <f>IF((F$3&gt;0),(1000*('Data Entry'!E11/'Data Entry'!E$6)), 0)</f>
        <v>0</v>
      </c>
      <c r="G8" s="1">
        <f>IF((G$3&gt;0),(1000*('Data Entry'!F11/'Data Entry'!F$6)), 0)</f>
        <v>0</v>
      </c>
      <c r="H8" s="1">
        <f>IF((H$3&gt;0),(1000*('Data Entry'!G11/'Data Entry'!G$6)), 0)</f>
        <v>0</v>
      </c>
      <c r="I8" s="1">
        <f>IF((I$3&gt;0),(1000*('Data Entry'!H11/'Data Entry'!H$6)), 0)</f>
        <v>33.333333333333336</v>
      </c>
      <c r="J8" s="1">
        <f>IF((J$3&gt;0),(1000*('Data Entry'!I11/'Data Entry'!I$6)), 0)</f>
        <v>0</v>
      </c>
      <c r="K8" s="1">
        <f>IF((K$3&gt;0),(1000*('Data Entry'!J11/'Data Entry'!J$6)), 0)</f>
        <v>8.4033613445378155</v>
      </c>
    </row>
    <row r="9" spans="2:11" ht="15" customHeight="1" x14ac:dyDescent="0.25">
      <c r="B9" s="16" t="s">
        <v>13</v>
      </c>
      <c r="C9" s="1">
        <f>IF((C$3&gt;0),(1000*('Data Entry'!B12/'Data Entry'!B$6)), 0)</f>
        <v>2.2075055187637971</v>
      </c>
      <c r="D9" s="1">
        <f>IF((D$3&gt;0),(1000*('Data Entry'!C12/'Data Entry'!C$6)), 0)</f>
        <v>1.6129032258064515</v>
      </c>
      <c r="E9" s="1">
        <f>IF((E$3&gt;0),(1000*('Data Entry'!D12/'Data Entry'!D$6)), 0)</f>
        <v>0</v>
      </c>
      <c r="F9" s="1">
        <f>IF((F$3&gt;0),(1000*('Data Entry'!E12/'Data Entry'!E$6)), 0)</f>
        <v>0</v>
      </c>
      <c r="G9" s="1">
        <f>IF((G$3&gt;0),(1000*('Data Entry'!F12/'Data Entry'!F$6)), 0)</f>
        <v>0</v>
      </c>
      <c r="H9" s="1">
        <f>IF((H$3&gt;0),(1000*('Data Entry'!G12/'Data Entry'!G$6)), 0)</f>
        <v>0</v>
      </c>
      <c r="I9" s="1">
        <f>IF((I$3&gt;0),(1000*('Data Entry'!H12/'Data Entry'!H$6)), 0)</f>
        <v>33.333333333333336</v>
      </c>
      <c r="J9" s="1">
        <f>IF((J$3&gt;0),(1000*('Data Entry'!I12/'Data Entry'!I$6)), 0)</f>
        <v>0</v>
      </c>
      <c r="K9" s="1">
        <f>IF((K$3&gt;0),(1000*('Data Entry'!J12/'Data Entry'!J$6)), 0)</f>
        <v>8.4033613445378155</v>
      </c>
    </row>
    <row r="10" spans="2:11" ht="15" customHeight="1" x14ac:dyDescent="0.25">
      <c r="B10" s="16" t="s">
        <v>14</v>
      </c>
      <c r="C10" s="1">
        <f>IF((C$3&gt;0),(1000*('Data Entry'!B13/'Data Entry'!B$6)), 0)</f>
        <v>9.5658572479764548</v>
      </c>
      <c r="D10" s="1">
        <f>IF((D$3&gt;0),(1000*('Data Entry'!C13/'Data Entry'!C$6)), 0)</f>
        <v>8.870967741935484</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33.333333333333336</v>
      </c>
      <c r="J10" s="1">
        <f>IF((J$3&gt;0),(1000*('Data Entry'!I13/'Data Entry'!I$6)), 0)</f>
        <v>0</v>
      </c>
      <c r="K10" s="1">
        <f>IF((K$3&gt;0),(1000*('Data Entry'!J13/'Data Entry'!J$6)), 0)</f>
        <v>8.4033613445378155</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10/1/17 through 9/30/18</v>
      </c>
      <c r="G16" s="1"/>
      <c r="H16" s="1"/>
      <c r="I16" s="1"/>
      <c r="J16" s="67"/>
    </row>
    <row r="17" spans="2:10" ht="15" customHeight="1" x14ac:dyDescent="0.25">
      <c r="B17" s="81" t="str">
        <f>'Data Entry'!A3</f>
        <v>County: Benzie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f t="shared" si="1"/>
        <v>137.77777777777777</v>
      </c>
      <c r="G19" s="72" t="str">
        <f t="shared" si="1"/>
        <v>--</v>
      </c>
      <c r="H19" s="72" t="str">
        <f t="shared" si="1"/>
        <v>--</v>
      </c>
      <c r="I19" s="72" t="str">
        <f t="shared" si="1"/>
        <v>--</v>
      </c>
      <c r="J19" s="73">
        <f t="shared" si="1"/>
        <v>10.420168067226891</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f t="shared" si="2"/>
        <v>1.9682539682539681</v>
      </c>
      <c r="I20" s="72" t="str">
        <f t="shared" si="2"/>
        <v>--</v>
      </c>
      <c r="J20" s="73">
        <f t="shared" si="2"/>
        <v>0.49619847939175665</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f t="shared" si="2"/>
        <v>10.333333333333334</v>
      </c>
      <c r="I23" s="72" t="str">
        <f t="shared" si="2"/>
        <v>--</v>
      </c>
      <c r="J23" s="73">
        <f t="shared" si="2"/>
        <v>2.6050420168067228</v>
      </c>
    </row>
    <row r="24" spans="2:10" ht="15" customHeight="1" x14ac:dyDescent="0.25">
      <c r="B24" s="71" t="s">
        <v>13</v>
      </c>
      <c r="C24" s="72">
        <f t="shared" si="2"/>
        <v>1</v>
      </c>
      <c r="D24" s="72" t="str">
        <f t="shared" si="2"/>
        <v>--</v>
      </c>
      <c r="E24" s="72" t="str">
        <f t="shared" si="2"/>
        <v>--</v>
      </c>
      <c r="F24" s="72" t="str">
        <f t="shared" si="2"/>
        <v>--</v>
      </c>
      <c r="G24" s="72" t="str">
        <f t="shared" si="2"/>
        <v>--</v>
      </c>
      <c r="H24" s="72">
        <f t="shared" si="2"/>
        <v>20.666666666666668</v>
      </c>
      <c r="I24" s="72" t="str">
        <f t="shared" si="2"/>
        <v>--</v>
      </c>
      <c r="J24" s="73">
        <f t="shared" si="2"/>
        <v>5.2100840336134455</v>
      </c>
    </row>
    <row r="25" spans="2:10" ht="15" customHeight="1" x14ac:dyDescent="0.25">
      <c r="B25" s="71" t="s">
        <v>14</v>
      </c>
      <c r="C25" s="72">
        <f t="shared" si="2"/>
        <v>1</v>
      </c>
      <c r="D25" s="72" t="str">
        <f t="shared" si="2"/>
        <v>--</v>
      </c>
      <c r="E25" s="72" t="str">
        <f t="shared" si="2"/>
        <v>--</v>
      </c>
      <c r="F25" s="72" t="str">
        <f t="shared" si="2"/>
        <v>--</v>
      </c>
      <c r="G25" s="72" t="str">
        <f t="shared" si="2"/>
        <v>--</v>
      </c>
      <c r="H25" s="72">
        <f t="shared" si="2"/>
        <v>3.7575757575757578</v>
      </c>
      <c r="I25" s="72" t="str">
        <f t="shared" si="2"/>
        <v>--</v>
      </c>
      <c r="J25" s="73">
        <f t="shared" si="2"/>
        <v>0.94728800611153552</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Benzie</v>
      </c>
      <c r="C4" s="103"/>
      <c r="D4" s="103"/>
      <c r="E4" s="103"/>
      <c r="F4" s="103"/>
      <c r="G4" s="103"/>
      <c r="H4" s="103"/>
      <c r="I4" s="103"/>
      <c r="J4" s="103"/>
      <c r="K4" s="103"/>
      <c r="L4" s="103"/>
      <c r="M4" s="103"/>
      <c r="N4" s="184" t="str">
        <f>'Data Entry'!C4</f>
        <v>10/1/17 through 9/30/18</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1240</v>
      </c>
      <c r="D7" s="105">
        <f>'Data Entry'!D6</f>
        <v>25</v>
      </c>
      <c r="E7" s="106"/>
      <c r="F7" s="107">
        <f>'Data Entry'!E6</f>
        <v>55</v>
      </c>
      <c r="G7" s="106"/>
      <c r="H7" s="107">
        <f>'Data Entry'!F6</f>
        <v>9</v>
      </c>
      <c r="I7" s="106"/>
      <c r="J7" s="107">
        <f>'Data Entry'!G6</f>
        <v>0</v>
      </c>
      <c r="K7" s="106"/>
      <c r="L7" s="107">
        <f>'Data Entry'!H6</f>
        <v>30</v>
      </c>
      <c r="M7" s="106"/>
      <c r="N7" s="107">
        <f>'Data Entry'!I6</f>
        <v>0</v>
      </c>
      <c r="O7" s="106"/>
      <c r="P7" s="107">
        <f>'Data Entry'!J6</f>
        <v>119</v>
      </c>
      <c r="Q7" s="108"/>
    </row>
    <row r="8" spans="2:26" s="1" customFormat="1" ht="15" customHeight="1" x14ac:dyDescent="0.3">
      <c r="B8" s="149" t="s">
        <v>8</v>
      </c>
      <c r="C8" s="104">
        <f>'Data Entry'!C7</f>
        <v>1</v>
      </c>
      <c r="D8" s="105">
        <f>'Data Entry'!D7</f>
        <v>0</v>
      </c>
      <c r="E8" s="106" t="str">
        <f>'Black or African-American'!$G7</f>
        <v>**</v>
      </c>
      <c r="F8" s="107">
        <f>'Data Entry'!E7</f>
        <v>0</v>
      </c>
      <c r="G8" s="106" t="str">
        <f>Hispanic!G7</f>
        <v>**</v>
      </c>
      <c r="H8" s="107">
        <f>'Data Entry'!F7</f>
        <v>1</v>
      </c>
      <c r="I8" s="106" t="str">
        <f>Asian!G7</f>
        <v>*</v>
      </c>
      <c r="J8" s="107">
        <f>'Data Entry'!G7</f>
        <v>0</v>
      </c>
      <c r="K8" s="106" t="str">
        <f>Hawaiian!G7</f>
        <v>*</v>
      </c>
      <c r="L8" s="107">
        <f>'Data Entry'!H7</f>
        <v>0</v>
      </c>
      <c r="M8" s="106" t="str">
        <f>'Am Indian'!G7</f>
        <v>**</v>
      </c>
      <c r="N8" s="107">
        <f>'Data Entry'!I7</f>
        <v>0</v>
      </c>
      <c r="O8" s="106" t="str">
        <f>'Other - Mixed'!G7</f>
        <v>*</v>
      </c>
      <c r="P8" s="107">
        <f>'Data Entry'!J7</f>
        <v>1</v>
      </c>
      <c r="Q8" s="108" t="str">
        <f>'All Minorities'!G7</f>
        <v>**</v>
      </c>
      <c r="R8"/>
      <c r="T8" s="1">
        <f>'Black or African-American'!L7</f>
        <v>40</v>
      </c>
      <c r="U8" s="1">
        <f>Hispanic!L7</f>
        <v>40</v>
      </c>
      <c r="V8" s="1">
        <f>Asian!L7</f>
        <v>119</v>
      </c>
      <c r="W8" s="1" t="e">
        <f>Hawaiian!L7</f>
        <v>#VALUE!</v>
      </c>
      <c r="X8" s="1">
        <f>'Am Indian'!L7</f>
        <v>40</v>
      </c>
      <c r="Y8" s="1" t="e">
        <f>'Other - Mixed'!L7</f>
        <v>#VALUE!</v>
      </c>
      <c r="Z8" s="1">
        <f>'All Minorities'!L7</f>
        <v>20</v>
      </c>
    </row>
    <row r="9" spans="2:26" s="1" customFormat="1" ht="15" customHeight="1" x14ac:dyDescent="0.3">
      <c r="B9" s="149" t="s">
        <v>134</v>
      </c>
      <c r="C9" s="104">
        <f>'Data Entry'!C8</f>
        <v>21</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1</v>
      </c>
      <c r="M9" s="110" t="str">
        <f>'Am Indian'!G8</f>
        <v>**</v>
      </c>
      <c r="N9" s="111">
        <f>'Data Entry'!I8</f>
        <v>0</v>
      </c>
      <c r="O9" s="110" t="str">
        <f>'Other - Mixed'!G8</f>
        <v>*</v>
      </c>
      <c r="P9" s="111">
        <f>'Data Entry'!J8</f>
        <v>1</v>
      </c>
      <c r="Q9" s="112"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x14ac:dyDescent="0.3">
      <c r="B10" s="149" t="s">
        <v>10</v>
      </c>
      <c r="C10" s="104">
        <f>'Data Entry'!C9</f>
        <v>4</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f>'Am Indian'!L9</f>
        <v>40</v>
      </c>
      <c r="Y10" s="1" t="e">
        <f>'Other - Mixed'!L9</f>
        <v>#VALUE!</v>
      </c>
      <c r="Z10" s="1">
        <f>'All Minorities'!L9</f>
        <v>40</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4</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1</v>
      </c>
      <c r="M12" s="114" t="str">
        <f>'Am Indian'!G11</f>
        <v>**</v>
      </c>
      <c r="N12" s="115">
        <f>'Data Entry'!I11</f>
        <v>0</v>
      </c>
      <c r="O12" s="114" t="str">
        <f>'Other - Mixed'!G11</f>
        <v>*</v>
      </c>
      <c r="P12" s="115">
        <f>'Data Entry'!J11</f>
        <v>1</v>
      </c>
      <c r="Q12" s="116" t="str">
        <f>'All Minorities'!G11</f>
        <v>**</v>
      </c>
      <c r="R12"/>
      <c r="T12" s="1" t="e">
        <f>'Black or African-American'!L11</f>
        <v>#VALUE!</v>
      </c>
      <c r="U12" s="1" t="e">
        <f>Hispanic!L11</f>
        <v>#VALUE!</v>
      </c>
      <c r="V12" s="1" t="e">
        <f>Asian!L11</f>
        <v>#VALUE!</v>
      </c>
      <c r="W12" s="1" t="e">
        <f>Hawaiian!L11</f>
        <v>#VALUE!</v>
      </c>
      <c r="X12" s="1">
        <f>'Am Indian'!L11</f>
        <v>40</v>
      </c>
      <c r="Y12" s="1" t="e">
        <f>'Other - Mixed'!L11</f>
        <v>#VALUE!</v>
      </c>
      <c r="Z12" s="1">
        <f>'All Minorities'!L11</f>
        <v>40</v>
      </c>
    </row>
    <row r="13" spans="2:26" s="1" customFormat="1" ht="15" customHeight="1" x14ac:dyDescent="0.3">
      <c r="B13" s="149" t="s">
        <v>13</v>
      </c>
      <c r="C13" s="104">
        <f>'Data Entry'!C12</f>
        <v>2</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1</v>
      </c>
      <c r="M13" s="110" t="str">
        <f>'Am Indian'!G12</f>
        <v>**</v>
      </c>
      <c r="N13" s="111">
        <f>'Data Entry'!I12</f>
        <v>0</v>
      </c>
      <c r="O13" s="110" t="str">
        <f>'Other - Mixed'!G12</f>
        <v>*</v>
      </c>
      <c r="P13" s="111">
        <f>'Data Entry'!J12</f>
        <v>1</v>
      </c>
      <c r="Q13" s="112" t="str">
        <f>'All Minorities'!G12</f>
        <v>**</v>
      </c>
      <c r="R13"/>
      <c r="T13" s="1" t="e">
        <f>'Black or African-American'!L12</f>
        <v>#VALUE!</v>
      </c>
      <c r="U13" s="1" t="e">
        <f>Hispanic!L12</f>
        <v>#VALUE!</v>
      </c>
      <c r="V13" s="1" t="e">
        <f>Asian!L12</f>
        <v>#VALUE!</v>
      </c>
      <c r="W13" s="1" t="e">
        <f>Hawaiian!L12</f>
        <v>#VALUE!</v>
      </c>
      <c r="X13" s="1">
        <f>'Am Indian'!L12</f>
        <v>40</v>
      </c>
      <c r="Y13" s="1" t="e">
        <f>'Other - Mixed'!L12</f>
        <v>#VALUE!</v>
      </c>
      <c r="Z13" s="1">
        <f>'All Minorities'!L12</f>
        <v>40</v>
      </c>
    </row>
    <row r="14" spans="2:26" s="1" customFormat="1" ht="15" customHeight="1" x14ac:dyDescent="0.3">
      <c r="B14" s="149" t="s">
        <v>133</v>
      </c>
      <c r="C14" s="104">
        <f>'Data Entry'!C13</f>
        <v>11</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1</v>
      </c>
      <c r="M14" s="114" t="str">
        <f>'Am Indian'!G13</f>
        <v>**</v>
      </c>
      <c r="N14" s="115">
        <f>'Data Entry'!I13</f>
        <v>0</v>
      </c>
      <c r="O14" s="114" t="str">
        <f>'Other - Mixed'!G13</f>
        <v>*</v>
      </c>
      <c r="P14" s="115">
        <f>'Data Entry'!J13</f>
        <v>1</v>
      </c>
      <c r="Q14" s="116" t="str">
        <f>'All Minorities'!G13</f>
        <v>**</v>
      </c>
      <c r="R14"/>
      <c r="T14" s="1" t="e">
        <f>'Black or African-American'!L13</f>
        <v>#VALUE!</v>
      </c>
      <c r="U14" s="1" t="e">
        <f>Hispanic!L13</f>
        <v>#VALUE!</v>
      </c>
      <c r="V14" s="1" t="e">
        <f>Asian!L13</f>
        <v>#VALUE!</v>
      </c>
      <c r="W14" s="1" t="e">
        <f>Hawaiian!L13</f>
        <v>#VALUE!</v>
      </c>
      <c r="X14" s="1">
        <f>'Am Indian'!L13</f>
        <v>40</v>
      </c>
      <c r="Y14" s="1" t="e">
        <f>'Other - Mixed'!L13</f>
        <v>#VALUE!</v>
      </c>
      <c r="Z14" s="1">
        <f>'All Minorities'!L13</f>
        <v>40</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(figures for 2018): U.S. Census estimate (from C. Puzzanchera, A. Sladky, and W. Kang, "Easy Access to Juvenile Populations: 1990-2018," Online, accessed August 9, 2019 from http://www.ojjdp.gov/ojstatbb/ezapop/)</v>
      </c>
      <c r="E26" s="1" t="str">
        <f>'Data Entry'!D19</f>
        <v>Item 2.Arrest: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Benzie</v>
      </c>
      <c r="B5" s="141"/>
      <c r="C5" s="141"/>
      <c r="D5" s="141"/>
      <c r="E5" s="141"/>
      <c r="F5" s="141"/>
      <c r="G5" s="141"/>
      <c r="H5" s="141"/>
      <c r="I5" s="141"/>
    </row>
    <row r="6" spans="1:12" x14ac:dyDescent="0.2">
      <c r="A6" s="140" t="str">
        <f>CONCATENATE("Percentage of Minorities at Stages of the Juvenile Justice System, ", A5, " 2018")</f>
        <v>Percentage of Minorities at Stages of the Juvenile Justice System, County: Benzie 2018</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10.420168067226891</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10.420168067226891</v>
      </c>
    </row>
    <row r="9" spans="1:12" x14ac:dyDescent="0.2">
      <c r="A9" s="132" t="str">
        <f>CONCATENATE("Delinquent Findings, total N=", 'Data Entry'!B12)</f>
        <v>Delinquent Findings, total N=3</v>
      </c>
      <c r="B9" s="157">
        <f>'Data Entry'!D12/'Data Entry'!B12</f>
        <v>0</v>
      </c>
      <c r="C9" s="157">
        <f>'Data Entry'!E12/'Data Entry'!B12</f>
        <v>0</v>
      </c>
      <c r="D9" s="157">
        <f>'Data Entry'!F12/'Data Entry'!B12</f>
        <v>0</v>
      </c>
      <c r="E9" s="157">
        <f>'Data Entry'!G12/'Data Entry'!B12</f>
        <v>0</v>
      </c>
      <c r="F9" s="157">
        <f>'Data Entry'!H12/'Data Entry'!B12</f>
        <v>0.33333333333333331</v>
      </c>
      <c r="G9" s="157">
        <f>'Data Entry'!I12/'Data Entry'!B12</f>
        <v>0</v>
      </c>
      <c r="H9" s="157">
        <f>SUM(D9:G9)/'Data Entry'!B12</f>
        <v>0.1111111111111111</v>
      </c>
      <c r="I9" s="157">
        <f>'Data Entry'!C12/'Data Entry'!B12</f>
        <v>0.66666666666666663</v>
      </c>
      <c r="K9" s="97" t="str">
        <f t="shared" si="0"/>
        <v>Delinquent Findings, total N=3</v>
      </c>
      <c r="L9">
        <f>I14/(SUM(B14:G14))</f>
        <v>10.420168067226891</v>
      </c>
    </row>
    <row r="10" spans="1:12" x14ac:dyDescent="0.2">
      <c r="A10" s="132" t="str">
        <f>CONCATENATE("Petitions, total N=", 'Data Entry'!B11)</f>
        <v>Petitions, total N=5</v>
      </c>
      <c r="B10" s="157">
        <f>'Data Entry'!D11/'Data Entry'!B11</f>
        <v>0</v>
      </c>
      <c r="C10" s="157">
        <f>'Data Entry'!E11/'Data Entry'!B11</f>
        <v>0</v>
      </c>
      <c r="D10" s="157">
        <f>'Data Entry'!F11/'Data Entry'!B11</f>
        <v>0</v>
      </c>
      <c r="E10" s="157">
        <f>'Data Entry'!G11/'Data Entry'!B11</f>
        <v>0</v>
      </c>
      <c r="F10" s="157">
        <f>'Data Entry'!H11/'Data Entry'!B11</f>
        <v>0.2</v>
      </c>
      <c r="G10" s="157">
        <f>'Data Entry'!I11/'Data Entry'!B11</f>
        <v>0</v>
      </c>
      <c r="H10" s="157">
        <f>SUM(D10:G10)/'Data Entry'!B11</f>
        <v>0.04</v>
      </c>
      <c r="I10" s="157">
        <f>'Data Entry'!C11/'Data Entry'!B11</f>
        <v>0.8</v>
      </c>
      <c r="K10" s="97" t="str">
        <f t="shared" si="0"/>
        <v>Petitions, total N=5</v>
      </c>
      <c r="L10">
        <f>I14/(SUM(B14:G14))</f>
        <v>10.420168067226891</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10.420168067226891</v>
      </c>
    </row>
    <row r="12" spans="1:12" x14ac:dyDescent="0.2">
      <c r="A12" s="132" t="str">
        <f>CONCATENATE("Referrals, total N=", 'Data Entry'!B8)</f>
        <v>Referrals, total N=24</v>
      </c>
      <c r="B12" s="157">
        <f>'Data Entry'!D8/'Data Entry'!B8</f>
        <v>0</v>
      </c>
      <c r="C12" s="157">
        <f>'Data Entry'!E8/'Data Entry'!B8</f>
        <v>0</v>
      </c>
      <c r="D12" s="157">
        <f>'Data Entry'!F8/'Data Entry'!B8</f>
        <v>0</v>
      </c>
      <c r="E12" s="157">
        <f>'Data Entry'!G8/'Data Entry'!B8</f>
        <v>0</v>
      </c>
      <c r="F12" s="157">
        <f>'Data Entry'!H8/'Data Entry'!B8</f>
        <v>4.1666666666666664E-2</v>
      </c>
      <c r="G12" s="157">
        <f>'Data Entry'!I8/'Data Entry'!B8</f>
        <v>0</v>
      </c>
      <c r="H12" s="157">
        <f>SUM(D12:G12)/'Data Entry'!B8</f>
        <v>1.736111111111111E-3</v>
      </c>
      <c r="I12" s="157">
        <f>'Data Entry'!C8/'Data Entry'!B8</f>
        <v>0.875</v>
      </c>
      <c r="K12" s="97" t="str">
        <f t="shared" si="0"/>
        <v>Referrals, total N=24</v>
      </c>
      <c r="L12">
        <f>I14/(SUM(B14:G14))</f>
        <v>10.420168067226891</v>
      </c>
    </row>
    <row r="13" spans="1:12" x14ac:dyDescent="0.2">
      <c r="A13" s="132" t="str">
        <f>CONCATENATE("Arrests, total N=", 'Data Entry'!B7)</f>
        <v>Arrests, total N=2</v>
      </c>
      <c r="B13" s="157">
        <f>'Data Entry'!D7/'Data Entry'!B7</f>
        <v>0</v>
      </c>
      <c r="C13" s="157">
        <f>'Data Entry'!E7/'Data Entry'!B7</f>
        <v>0</v>
      </c>
      <c r="D13" s="157">
        <f>'Data Entry'!F7/'Data Entry'!B7</f>
        <v>0.5</v>
      </c>
      <c r="E13" s="157">
        <f>'Data Entry'!G7/'Data Entry'!B7</f>
        <v>0</v>
      </c>
      <c r="F13" s="157">
        <f>'Data Entry'!H7/'Data Entry'!B7</f>
        <v>0</v>
      </c>
      <c r="G13" s="157">
        <f>'Data Entry'!I7/'Data Entry'!B7</f>
        <v>0</v>
      </c>
      <c r="H13" s="157">
        <f>SUM(D13:G13)/'Data Entry'!B7</f>
        <v>0.25</v>
      </c>
      <c r="I13" s="157">
        <f>'Data Entry'!C7/'Data Entry'!B7</f>
        <v>0.5</v>
      </c>
      <c r="K13" s="97" t="str">
        <f t="shared" si="0"/>
        <v>Arrests, total N=2</v>
      </c>
      <c r="L13">
        <f>I14/(SUM(B14:G14))</f>
        <v>10.420168067226891</v>
      </c>
    </row>
    <row r="14" spans="1:12" x14ac:dyDescent="0.2">
      <c r="A14" s="132" t="str">
        <f>CONCATENATE("Population, total N=", 'Data Entry'!B6)</f>
        <v>Population, total N=1359</v>
      </c>
      <c r="B14" s="157">
        <f>'Data Entry'!D6/'Data Entry'!B6</f>
        <v>1.839587932303164E-2</v>
      </c>
      <c r="C14" s="157">
        <f>'Data Entry'!E6/'Data Entry'!B6</f>
        <v>4.0470934510669611E-2</v>
      </c>
      <c r="D14" s="157">
        <f>'Data Entry'!F6/'Data Entry'!B6</f>
        <v>6.6225165562913907E-3</v>
      </c>
      <c r="E14" s="157">
        <f>'Data Entry'!G6/'Data Entry'!B6</f>
        <v>0</v>
      </c>
      <c r="F14" s="157">
        <f>'Data Entry'!H6/'Data Entry'!B6</f>
        <v>2.2075055187637971E-2</v>
      </c>
      <c r="G14" s="157">
        <f>'Data Entry'!I6/'Data Entry'!B6</f>
        <v>0</v>
      </c>
      <c r="H14" s="157">
        <f>SUM(D14:G14)/'Data Entry'!B6</f>
        <v>2.1116682666614687E-5</v>
      </c>
      <c r="I14" s="157">
        <f>'Data Entry'!C6/'Data Entry'!B6</f>
        <v>0.91243561442236942</v>
      </c>
      <c r="K14" s="97" t="str">
        <f t="shared" si="0"/>
        <v>Population, total N=1359</v>
      </c>
      <c r="L14">
        <f>I14/(SUM(B14:G14))</f>
        <v>10.420168067226891</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212" t="str">
        <f>'Data Entry'!C3</f>
        <v xml:space="preserve">Reporting Period:  </v>
      </c>
      <c r="I3" s="213"/>
      <c r="J3" s="213"/>
      <c r="K3" s="214"/>
    </row>
    <row r="4" spans="2:30" s="1" customFormat="1" ht="19.5" thickBot="1" x14ac:dyDescent="0.4">
      <c r="B4" s="102" t="str">
        <f>'Data Entry'!A3</f>
        <v>County: Benzie</v>
      </c>
      <c r="C4" s="121"/>
      <c r="D4" s="121"/>
      <c r="E4" s="124"/>
      <c r="F4" s="124"/>
      <c r="G4" s="124"/>
      <c r="H4" s="184" t="str">
        <f>'Data Entry'!C4</f>
        <v>10/1/17 through 9/30/18</v>
      </c>
      <c r="I4" s="215"/>
      <c r="J4" s="215"/>
      <c r="K4" s="216"/>
    </row>
    <row r="5" spans="2:30" s="123" customFormat="1" ht="69" customHeight="1" x14ac:dyDescent="0.35">
      <c r="B5" s="100"/>
      <c r="C5" s="101" t="s">
        <v>3</v>
      </c>
      <c r="D5" s="209" t="str">
        <f>'Black or African-American'!$F$1</f>
        <v>Black or African American</v>
      </c>
      <c r="E5" s="210"/>
      <c r="F5" s="209" t="str">
        <f>Hispanic!F1</f>
        <v>Hispanic or Latino</v>
      </c>
      <c r="G5" s="210"/>
      <c r="H5" s="209" t="str">
        <f>Asian!F1</f>
        <v>Asian</v>
      </c>
      <c r="I5" s="210"/>
      <c r="J5" s="209" t="str">
        <f>'Data Entry'!J5</f>
        <v>All Minorities</v>
      </c>
      <c r="K5" s="211"/>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1240</v>
      </c>
      <c r="D7" s="105">
        <f>'Data Entry'!D6</f>
        <v>25</v>
      </c>
      <c r="E7" s="106"/>
      <c r="F7" s="107">
        <f>'Data Entry'!E6</f>
        <v>55</v>
      </c>
      <c r="G7" s="106"/>
      <c r="H7" s="107">
        <f>'Data Entry'!F6</f>
        <v>9</v>
      </c>
      <c r="I7" s="106"/>
      <c r="J7" s="107">
        <f>'Data Entry'!J6</f>
        <v>119</v>
      </c>
      <c r="K7" s="108"/>
    </row>
    <row r="8" spans="2:30" s="1" customFormat="1" ht="15" customHeight="1" x14ac:dyDescent="0.3">
      <c r="B8" s="125" t="s">
        <v>8</v>
      </c>
      <c r="C8" s="104">
        <f>'Data Entry'!C7</f>
        <v>1</v>
      </c>
      <c r="D8" s="105">
        <f>'Data Entry'!D7</f>
        <v>0</v>
      </c>
      <c r="E8" s="106" t="str">
        <f>'Black or African-American'!$G7</f>
        <v>**</v>
      </c>
      <c r="F8" s="107">
        <f>'Data Entry'!E7</f>
        <v>0</v>
      </c>
      <c r="G8" s="106" t="str">
        <f>Hispanic!G7</f>
        <v>**</v>
      </c>
      <c r="H8" s="107">
        <f>'Data Entry'!F7</f>
        <v>1</v>
      </c>
      <c r="I8" s="106" t="str">
        <f>Asian!G7</f>
        <v>*</v>
      </c>
      <c r="J8" s="107">
        <f>'Data Entry'!J7</f>
        <v>1</v>
      </c>
      <c r="K8" s="108" t="str">
        <f>'All Minorities'!G7</f>
        <v>**</v>
      </c>
      <c r="L8"/>
      <c r="N8" s="1">
        <f>'Black or African-American'!L7</f>
        <v>40</v>
      </c>
      <c r="O8" s="1">
        <f>Hispanic!L7</f>
        <v>40</v>
      </c>
      <c r="P8" s="1">
        <f>Asian!L7</f>
        <v>119</v>
      </c>
      <c r="Q8" s="1" t="e">
        <f>Hawaiian!L7</f>
        <v>#VALUE!</v>
      </c>
      <c r="R8" s="1">
        <f>'Am Indian'!L7</f>
        <v>40</v>
      </c>
      <c r="S8" s="1" t="e">
        <f>'Other - Mixed'!L7</f>
        <v>#VALUE!</v>
      </c>
      <c r="T8" s="1">
        <f>'All Minorities'!L7</f>
        <v>20</v>
      </c>
    </row>
    <row r="9" spans="2:30" s="1" customFormat="1" ht="15" customHeight="1" x14ac:dyDescent="0.3">
      <c r="B9" s="125" t="s">
        <v>134</v>
      </c>
      <c r="C9" s="104">
        <f>'Data Entry'!C8</f>
        <v>21</v>
      </c>
      <c r="D9" s="109">
        <f>'Data Entry'!D8</f>
        <v>0</v>
      </c>
      <c r="E9" s="110" t="str">
        <f>'Black or African-American'!$G8</f>
        <v>**</v>
      </c>
      <c r="F9" s="111">
        <f>'Data Entry'!E8</f>
        <v>0</v>
      </c>
      <c r="G9" s="110" t="str">
        <f>Hispanic!G8</f>
        <v>**</v>
      </c>
      <c r="H9" s="111">
        <f>'Data Entry'!F8</f>
        <v>0</v>
      </c>
      <c r="I9" s="110" t="str">
        <f>Asian!G8</f>
        <v>*</v>
      </c>
      <c r="J9" s="111">
        <f>'Data Entry'!J8</f>
        <v>1</v>
      </c>
      <c r="K9" s="112"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x14ac:dyDescent="0.3">
      <c r="B10" s="125" t="s">
        <v>10</v>
      </c>
      <c r="C10" s="104">
        <f>'Data Entry'!C9</f>
        <v>4</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f>'Am Indian'!L9</f>
        <v>40</v>
      </c>
      <c r="S10" s="1" t="e">
        <f>'Other - Mixed'!L9</f>
        <v>#VALUE!</v>
      </c>
      <c r="T10" s="1">
        <f>'All Minorities'!L9</f>
        <v>40</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4</v>
      </c>
      <c r="D12" s="113">
        <f>'Data Entry'!D11</f>
        <v>0</v>
      </c>
      <c r="E12" s="114" t="str">
        <f>'Black or African-American'!$G11</f>
        <v>--</v>
      </c>
      <c r="F12" s="115">
        <f>'Data Entry'!E11</f>
        <v>0</v>
      </c>
      <c r="G12" s="114" t="str">
        <f>Hispanic!G11</f>
        <v>--</v>
      </c>
      <c r="H12" s="115">
        <f>'Data Entry'!F11</f>
        <v>0</v>
      </c>
      <c r="I12" s="114" t="str">
        <f>Asian!G11</f>
        <v>*</v>
      </c>
      <c r="J12" s="115">
        <f>'Data Entry'!J11</f>
        <v>1</v>
      </c>
      <c r="K12" s="116" t="str">
        <f>'All Minorities'!G11</f>
        <v>**</v>
      </c>
      <c r="L12"/>
      <c r="N12" s="1" t="e">
        <f>'Black or African-American'!L11</f>
        <v>#VALUE!</v>
      </c>
      <c r="O12" s="1" t="e">
        <f>Hispanic!L11</f>
        <v>#VALUE!</v>
      </c>
      <c r="P12" s="1" t="e">
        <f>Asian!L11</f>
        <v>#VALUE!</v>
      </c>
      <c r="Q12" s="1" t="e">
        <f>Hawaiian!L11</f>
        <v>#VALUE!</v>
      </c>
      <c r="R12" s="1">
        <f>'Am Indian'!L11</f>
        <v>40</v>
      </c>
      <c r="S12" s="1" t="e">
        <f>'Other - Mixed'!L11</f>
        <v>#VALUE!</v>
      </c>
      <c r="T12" s="1">
        <f>'All Minorities'!L11</f>
        <v>40</v>
      </c>
    </row>
    <row r="13" spans="2:30" s="1" customFormat="1" ht="15" customHeight="1" x14ac:dyDescent="0.3">
      <c r="B13" s="125" t="s">
        <v>13</v>
      </c>
      <c r="C13" s="104">
        <f>'Data Entry'!C12</f>
        <v>2</v>
      </c>
      <c r="D13" s="109">
        <f>'Data Entry'!D12</f>
        <v>0</v>
      </c>
      <c r="E13" s="110" t="str">
        <f>'Black or African-American'!$G12</f>
        <v>--</v>
      </c>
      <c r="F13" s="111">
        <f>'Data Entry'!E12</f>
        <v>0</v>
      </c>
      <c r="G13" s="110" t="str">
        <f>Hispanic!G12</f>
        <v>--</v>
      </c>
      <c r="H13" s="111">
        <f>'Data Entry'!F12</f>
        <v>0</v>
      </c>
      <c r="I13" s="110" t="str">
        <f>Asian!G12</f>
        <v>*</v>
      </c>
      <c r="J13" s="111">
        <f>'Data Entry'!J12</f>
        <v>1</v>
      </c>
      <c r="K13" s="112" t="str">
        <f>'All Minorities'!G12</f>
        <v>**</v>
      </c>
      <c r="L13"/>
      <c r="N13" s="1" t="e">
        <f>'Black or African-American'!L12</f>
        <v>#VALUE!</v>
      </c>
      <c r="O13" s="1" t="e">
        <f>Hispanic!L12</f>
        <v>#VALUE!</v>
      </c>
      <c r="P13" s="1" t="e">
        <f>Asian!L12</f>
        <v>#VALUE!</v>
      </c>
      <c r="Q13" s="1" t="e">
        <f>Hawaiian!L12</f>
        <v>#VALUE!</v>
      </c>
      <c r="R13" s="1">
        <f>'Am Indian'!L12</f>
        <v>40</v>
      </c>
      <c r="S13" s="1" t="e">
        <f>'Other - Mixed'!L12</f>
        <v>#VALUE!</v>
      </c>
      <c r="T13" s="1">
        <f>'All Minorities'!L12</f>
        <v>40</v>
      </c>
      <c r="W13" s="135"/>
      <c r="X13" s="135"/>
      <c r="Y13" s="135"/>
      <c r="Z13" s="135"/>
      <c r="AA13" s="135"/>
      <c r="AB13" s="135"/>
      <c r="AC13" s="135"/>
      <c r="AD13" s="135"/>
    </row>
    <row r="14" spans="2:30" s="1" customFormat="1" ht="15" customHeight="1" x14ac:dyDescent="0.3">
      <c r="B14" s="125" t="s">
        <v>14</v>
      </c>
      <c r="C14" s="104">
        <f>'Data Entry'!C13</f>
        <v>11</v>
      </c>
      <c r="D14" s="113">
        <f>'Data Entry'!D13</f>
        <v>0</v>
      </c>
      <c r="E14" s="114" t="str">
        <f>'Black or African-American'!$G13</f>
        <v>--</v>
      </c>
      <c r="F14" s="115">
        <f>'Data Entry'!E13</f>
        <v>0</v>
      </c>
      <c r="G14" s="114" t="str">
        <f>Hispanic!G13</f>
        <v>--</v>
      </c>
      <c r="H14" s="115">
        <f>'Data Entry'!F13</f>
        <v>0</v>
      </c>
      <c r="I14" s="114" t="str">
        <f>Asian!G13</f>
        <v>*</v>
      </c>
      <c r="J14" s="115">
        <f>'Data Entry'!J13</f>
        <v>1</v>
      </c>
      <c r="K14" s="116" t="str">
        <f>'All Minorities'!G13</f>
        <v>**</v>
      </c>
      <c r="L14"/>
      <c r="N14" s="1" t="e">
        <f>'Black or African-American'!L13</f>
        <v>#VALUE!</v>
      </c>
      <c r="O14" s="1" t="e">
        <f>Hispanic!L13</f>
        <v>#VALUE!</v>
      </c>
      <c r="P14" s="1" t="e">
        <f>Asian!L13</f>
        <v>#VALUE!</v>
      </c>
      <c r="Q14" s="1" t="e">
        <f>Hawaiian!L13</f>
        <v>#VALUE!</v>
      </c>
      <c r="R14" s="1">
        <f>'Am Indian'!L13</f>
        <v>40</v>
      </c>
      <c r="S14" s="1" t="e">
        <f>'Other - Mixed'!L13</f>
        <v>#VALUE!</v>
      </c>
      <c r="T14" s="1">
        <f>'All Minorities'!L13</f>
        <v>40</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199" t="s">
        <v>120</v>
      </c>
      <c r="C19" s="200"/>
      <c r="D19" s="200"/>
      <c r="E19" s="200"/>
      <c r="F19" s="200"/>
      <c r="G19" s="200"/>
      <c r="H19" s="200"/>
      <c r="I19" s="201"/>
      <c r="J19" s="202"/>
      <c r="K19" s="203"/>
    </row>
    <row r="20" spans="2:30" ht="15.75" x14ac:dyDescent="0.3">
      <c r="B20" s="160" t="s">
        <v>125</v>
      </c>
      <c r="C20" s="207" t="s">
        <v>53</v>
      </c>
      <c r="D20" s="208"/>
      <c r="E20" s="191" t="s">
        <v>56</v>
      </c>
      <c r="F20" s="192"/>
      <c r="G20" s="192"/>
      <c r="H20" s="192"/>
      <c r="I20" s="192"/>
      <c r="J20" s="192"/>
      <c r="K20" s="161" t="s">
        <v>57</v>
      </c>
    </row>
    <row r="21" spans="2:30" ht="15" customHeight="1" x14ac:dyDescent="0.3">
      <c r="B21" s="162" t="s">
        <v>126</v>
      </c>
      <c r="C21" s="193" t="s">
        <v>55</v>
      </c>
      <c r="D21" s="194"/>
      <c r="E21" s="195" t="s">
        <v>58</v>
      </c>
      <c r="F21" s="196"/>
      <c r="G21" s="196"/>
      <c r="H21" s="196"/>
      <c r="I21" s="196"/>
      <c r="J21" s="196"/>
      <c r="K21" s="163" t="s">
        <v>59</v>
      </c>
    </row>
    <row r="22" spans="2:30" ht="15" customHeight="1" thickBot="1" x14ac:dyDescent="0.35">
      <c r="B22" s="204"/>
      <c r="C22" s="205"/>
      <c r="D22" s="206"/>
      <c r="E22" s="197" t="s">
        <v>60</v>
      </c>
      <c r="F22" s="198"/>
      <c r="G22" s="198"/>
      <c r="H22" s="198"/>
      <c r="I22" s="198"/>
      <c r="J22" s="198"/>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(figures for 2018): U.S. Census estimate (from C. Puzzanchera, A. Sladky, and W. Kang, "Easy Access to Juvenile Populations: 1990-2018," Online, accessed August 9, 2019 from http://www.ojjdp.gov/ojstatbb/ezapop/)</v>
      </c>
      <c r="E26" s="1" t="str">
        <f>'Data Entry'!D19</f>
        <v>Item 2.Arrest: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1240</v>
      </c>
      <c r="D6" s="34"/>
      <c r="E6" s="33">
        <f>'Data Entry'!D6</f>
        <v>25</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0.80645161290322587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25</v>
      </c>
      <c r="P7" s="42">
        <f t="shared" ref="P7:P15" si="2">C7</f>
        <v>1</v>
      </c>
      <c r="Q7" s="42">
        <f>C6-C7</f>
        <v>1239</v>
      </c>
      <c r="R7" s="42">
        <f t="shared" ref="R7:R15" si="3">SUM(N7:Q7)</f>
        <v>1265</v>
      </c>
      <c r="S7" s="30">
        <f t="shared" ref="S7:S15" si="4">R7*((((N7*Q7)-(O7*P7))^2))</f>
        <v>790625</v>
      </c>
      <c r="T7" s="30">
        <f t="shared" ref="T7:T15" si="5">(N7+O7)*(P7+Q7)*(N7+P7)*(O7+Q7)</f>
        <v>39184000</v>
      </c>
      <c r="U7" s="31">
        <f t="shared" ref="U7:U15" si="6">IF((S7&gt;0),S7/T7,"- -")</f>
        <v>2.0177240710494079E-2</v>
      </c>
    </row>
    <row r="8" spans="2:21" ht="18" customHeight="1" x14ac:dyDescent="0.25">
      <c r="B8" s="32" t="str">
        <f>'Data Entry'!A8</f>
        <v>3. Refer to Juvenile Court</v>
      </c>
      <c r="C8" s="33">
        <f>'Data Entry'!C8</f>
        <v>21</v>
      </c>
      <c r="D8" s="34">
        <f>IF((AND(C67&gt;0,C8&gt;0)),(C8/C67),0)</f>
        <v>2100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21</v>
      </c>
      <c r="Q8" s="42">
        <f>(C$67*L67)-C8</f>
        <v>-20</v>
      </c>
      <c r="R8" s="42">
        <f t="shared" si="3"/>
        <v>1.0500000000000007</v>
      </c>
      <c r="S8" s="30">
        <f t="shared" si="4"/>
        <v>1.1576250000000008</v>
      </c>
      <c r="T8" s="30">
        <f t="shared" si="5"/>
        <v>-20.947500000000002</v>
      </c>
      <c r="U8" s="31">
        <f t="shared" si="6"/>
        <v>-5.5263157894736875E-2</v>
      </c>
    </row>
    <row r="9" spans="2:21" ht="18" customHeight="1" x14ac:dyDescent="0.25">
      <c r="B9" s="32" t="str">
        <f>'Data Entry'!A9</f>
        <v xml:space="preserve">4. Cases Diverted </v>
      </c>
      <c r="C9" s="33">
        <f>'Data Entry'!C9</f>
        <v>4</v>
      </c>
      <c r="D9" s="34">
        <f>IF((AND(C68&gt;0,C9&gt;0)),((C9/C68)),0)</f>
        <v>19.047619047619047</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4</v>
      </c>
      <c r="Q9" s="42">
        <f>(C$68*L68)-C9</f>
        <v>17</v>
      </c>
      <c r="R9" s="42">
        <f t="shared" si="3"/>
        <v>21</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21</v>
      </c>
      <c r="R10" s="42">
        <f t="shared" si="3"/>
        <v>21</v>
      </c>
      <c r="S10" s="30">
        <f t="shared" si="4"/>
        <v>0</v>
      </c>
      <c r="T10" s="30">
        <f t="shared" si="5"/>
        <v>0</v>
      </c>
      <c r="U10" s="31" t="str">
        <f t="shared" si="6"/>
        <v>- -</v>
      </c>
    </row>
    <row r="11" spans="2:21" ht="18" customHeight="1" x14ac:dyDescent="0.25">
      <c r="B11" s="32" t="str">
        <f>'Data Entry'!A11</f>
        <v>6. Cases Petitioned (Charge Filed)</v>
      </c>
      <c r="C11" s="33">
        <f>'Data Entry'!C11</f>
        <v>4</v>
      </c>
      <c r="D11" s="34">
        <f>IF(((AND(C68&gt;0,C11&gt;0))),(C11/(C68)),0)</f>
        <v>19.047619047619047</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4</v>
      </c>
      <c r="Q11" s="42">
        <f>(C$68*L68)-C11</f>
        <v>17</v>
      </c>
      <c r="R11" s="42">
        <f t="shared" si="3"/>
        <v>21</v>
      </c>
      <c r="S11" s="30">
        <f t="shared" si="4"/>
        <v>0</v>
      </c>
      <c r="T11" s="30">
        <f t="shared" si="5"/>
        <v>0</v>
      </c>
      <c r="U11" s="31" t="str">
        <f t="shared" si="6"/>
        <v>- -</v>
      </c>
    </row>
    <row r="12" spans="2:21" ht="18" customHeight="1" x14ac:dyDescent="0.25">
      <c r="B12" s="32" t="str">
        <f>'Data Entry'!A12</f>
        <v>7. Cases Resulting in Delinquent Findings</v>
      </c>
      <c r="C12" s="33">
        <f>'Data Entry'!C12</f>
        <v>2</v>
      </c>
      <c r="D12" s="34">
        <f>IF(((AND(C69&gt;0,C12&gt;0))),(C12/(C69)),0)</f>
        <v>50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2</v>
      </c>
      <c r="Q12" s="42">
        <f>(C69*L69)-C12</f>
        <v>2</v>
      </c>
      <c r="R12" s="42">
        <f t="shared" si="3"/>
        <v>4</v>
      </c>
      <c r="S12" s="30">
        <f t="shared" si="4"/>
        <v>0</v>
      </c>
      <c r="T12" s="30">
        <f t="shared" si="5"/>
        <v>0</v>
      </c>
      <c r="U12" s="31" t="str">
        <f t="shared" si="6"/>
        <v>- -</v>
      </c>
    </row>
    <row r="13" spans="2:21" ht="18" customHeight="1" x14ac:dyDescent="0.25">
      <c r="B13" s="32" t="str">
        <f>'Data Entry'!A13</f>
        <v>8. Cases Resulting in Probation Placement</v>
      </c>
      <c r="C13" s="33">
        <f>'Data Entry'!C13</f>
        <v>11</v>
      </c>
      <c r="D13" s="34">
        <f>IF(((AND(C70&gt;0,C13&gt;0))),(C13/(C70)),0)</f>
        <v>550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11</v>
      </c>
      <c r="Q13" s="42">
        <f>(C70*L70)-C13</f>
        <v>-9</v>
      </c>
      <c r="R13" s="42">
        <f t="shared" si="3"/>
        <v>2</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2</v>
      </c>
      <c r="R14" s="42">
        <f t="shared" si="3"/>
        <v>2</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4</v>
      </c>
      <c r="R15" s="42">
        <f t="shared" si="3"/>
        <v>4</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1.24</v>
      </c>
      <c r="D42" s="56">
        <f>E6/1000</f>
        <v>2.5000000000000001E-2</v>
      </c>
      <c r="E42" s="56">
        <f>MAX(C42:D42)</f>
        <v>1.24</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1.24</v>
      </c>
      <c r="D48" s="56">
        <f>D42</f>
        <v>2.5000000000000001E-2</v>
      </c>
      <c r="E48" s="56">
        <f>MAX(C48:D48)</f>
        <v>1.24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1.24</v>
      </c>
      <c r="D54" s="56">
        <f>D48</f>
        <v>2.5000000000000001E-2</v>
      </c>
      <c r="E54" s="56">
        <f>MAX(C54:D54)</f>
        <v>1.24</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1.24</v>
      </c>
      <c r="D60" s="56">
        <f>D54</f>
        <v>2.5000000000000001E-2</v>
      </c>
      <c r="E60" s="56">
        <f>MAX(C60:D60)</f>
        <v>1.24</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1.24</v>
      </c>
      <c r="D66" s="56">
        <f>D60</f>
        <v>2.5000000000000001E-2</v>
      </c>
      <c r="E66" s="56">
        <f>MAX(C66:D66)</f>
        <v>1.24</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1240</v>
      </c>
      <c r="D6" s="34"/>
      <c r="E6" s="33">
        <f>'Data Entry'!F6</f>
        <v>9</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0.80645161290322587</v>
      </c>
      <c r="E7" s="33">
        <f>'Data Entry'!F7</f>
        <v>1</v>
      </c>
      <c r="F7" s="34">
        <f>IF((AND($E$7&gt;0,$D$66&gt;0)),($E$7/$D$66),0)</f>
        <v>111.11111111111111</v>
      </c>
      <c r="G7" s="39" t="str">
        <f t="shared" ref="G7:G15" si="0">IF(L$6=100,"*",IF(M7=FALSE,"--",IF(K7=20,"**",($F7/$D7))))</f>
        <v>*</v>
      </c>
      <c r="H7" s="40"/>
      <c r="I7" s="41"/>
      <c r="J7" s="40">
        <f>IF((ABS($U7)&gt;Defaults!D$7),1,2)</f>
        <v>1</v>
      </c>
      <c r="K7" s="39">
        <f>IF((AND(N7&gt;Defaults!B$12,(N7+O7)&gt;Defaults!B$13, P7 &gt; Defaults!B$12, (P7+Q7) &gt; Defaults!B$13)),1,20)</f>
        <v>20</v>
      </c>
      <c r="L7" s="1">
        <f t="shared" ref="L7:L15" si="1">(J7*K7+L$6)-1</f>
        <v>119</v>
      </c>
      <c r="M7" s="1" t="b">
        <f t="shared" ref="M7:M15" si="2">(ISNUMBER(J7))</f>
        <v>1</v>
      </c>
      <c r="N7" s="42">
        <f t="shared" ref="N7:N15" si="3">E7</f>
        <v>1</v>
      </c>
      <c r="O7" s="42">
        <f>E6-E7</f>
        <v>8</v>
      </c>
      <c r="P7" s="42">
        <f t="shared" ref="P7:P15" si="4">C7</f>
        <v>1</v>
      </c>
      <c r="Q7" s="42">
        <f>C6-C7</f>
        <v>1239</v>
      </c>
      <c r="R7" s="42">
        <f t="shared" ref="R7:R15" si="5">SUM(N7:Q7)</f>
        <v>1249</v>
      </c>
      <c r="S7" s="30">
        <f t="shared" ref="S7:S15" si="6">R7*((((N7*Q7)-(O7*P7))^2))</f>
        <v>1892685889</v>
      </c>
      <c r="T7" s="30">
        <f t="shared" ref="T7:T15" si="7">(N7+O7)*(P7+Q7)*(N7+P7)*(O7+Q7)</f>
        <v>27833040</v>
      </c>
      <c r="U7" s="31">
        <f t="shared" ref="U7:U15" si="8">IF((S7&gt;0),S7/T7,"- -")</f>
        <v>68.001407284292341</v>
      </c>
    </row>
    <row r="8" spans="2:21" ht="18" customHeight="1" x14ac:dyDescent="0.25">
      <c r="B8" s="32" t="str">
        <f>'Data Entry'!A8</f>
        <v>3. Refer to Juvenile Court</v>
      </c>
      <c r="C8" s="33">
        <f>'Data Entry'!C8</f>
        <v>21</v>
      </c>
      <c r="D8" s="34">
        <f>IF((AND(C67&gt;0,C8&gt;0)),(C8/C67),0)</f>
        <v>2100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1.05</v>
      </c>
      <c r="P8" s="42">
        <f t="shared" si="4"/>
        <v>21</v>
      </c>
      <c r="Q8" s="42">
        <f>(C$67*L67)-C8</f>
        <v>-20</v>
      </c>
      <c r="R8" s="42">
        <f t="shared" si="5"/>
        <v>2.0500000000000007</v>
      </c>
      <c r="S8" s="30">
        <f t="shared" si="6"/>
        <v>996.7151250000004</v>
      </c>
      <c r="T8" s="30">
        <f t="shared" si="7"/>
        <v>-417.84750000000003</v>
      </c>
      <c r="U8" s="31">
        <f t="shared" si="8"/>
        <v>-2.3853562005277054</v>
      </c>
    </row>
    <row r="9" spans="2:21" ht="18" customHeight="1" x14ac:dyDescent="0.25">
      <c r="B9" s="32" t="str">
        <f>'Data Entry'!A9</f>
        <v xml:space="preserve">4. Cases Diverted </v>
      </c>
      <c r="C9" s="33">
        <f>'Data Entry'!C9</f>
        <v>4</v>
      </c>
      <c r="D9" s="34">
        <f>IF((AND(C68&gt;0,C9&gt;0)),((C9/C68)),0)</f>
        <v>19.047619047619047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17</v>
      </c>
      <c r="R9" s="42">
        <f t="shared" si="5"/>
        <v>21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19.047619047619047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17</v>
      </c>
      <c r="R11" s="42">
        <f t="shared" si="5"/>
        <v>21</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50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11</v>
      </c>
      <c r="D13" s="34">
        <f>IF(((AND(C70&gt;0,C13&gt;0))),(C13/(C70)),0)</f>
        <v>550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-9</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1.24</v>
      </c>
      <c r="D42" s="56">
        <f>E6/1000</f>
        <v>8.9999999999999993E-3</v>
      </c>
      <c r="E42" s="56">
        <f>MAX(C42:D42)</f>
        <v>1.24</v>
      </c>
      <c r="G42" s="1" t="str">
        <f>B42</f>
        <v>per 1000 youth</v>
      </c>
      <c r="L42" s="57">
        <v>1000</v>
      </c>
      <c r="M42" s="57"/>
      <c r="R42" s="49"/>
    </row>
    <row r="43" spans="2:18" ht="15" hidden="1" customHeight="1" x14ac:dyDescent="0.25">
      <c r="B43" s="49" t="s">
        <v>87</v>
      </c>
      <c r="C43" s="56">
        <f>C7/100</f>
        <v>0.01</v>
      </c>
      <c r="D43" s="56">
        <f>E7/100</f>
        <v>0.01</v>
      </c>
      <c r="E43" s="56">
        <f>MAX(C43:D43,0)</f>
        <v>0.01</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1.24</v>
      </c>
      <c r="D48" s="56">
        <f>D42</f>
        <v>8.9999999999999993E-3</v>
      </c>
      <c r="E48" s="56">
        <f>MAX(C48:D48)</f>
        <v>1.24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0.01</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1.24</v>
      </c>
      <c r="D54" s="56">
        <f>D48</f>
        <v>8.9999999999999993E-3</v>
      </c>
      <c r="E54" s="56">
        <f>MAX(C54:D54)</f>
        <v>1.24</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0.01</v>
      </c>
      <c r="E55" s="49">
        <f>MAX(C55:D55)</f>
        <v>0.01</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1.24</v>
      </c>
      <c r="D60" s="56">
        <f>D54</f>
        <v>8.9999999999999993E-3</v>
      </c>
      <c r="E60" s="56">
        <f>MAX(C60:D60)</f>
        <v>1.24</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0.01</v>
      </c>
      <c r="E61" s="49">
        <f>MAX(C61:D61)</f>
        <v>0.01</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1.24</v>
      </c>
      <c r="D66" s="56">
        <f>D60</f>
        <v>8.9999999999999993E-3</v>
      </c>
      <c r="E66" s="56">
        <f>MAX(C66:D66)</f>
        <v>1.24</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0.01</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1240</v>
      </c>
      <c r="D6" s="34"/>
      <c r="E6" s="33">
        <f>'Data Entry'!E6</f>
        <v>55</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0.80645161290322587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55</v>
      </c>
      <c r="P7" s="42">
        <f t="shared" ref="P7:P15" si="4">C7</f>
        <v>1</v>
      </c>
      <c r="Q7" s="42">
        <f>C6-C7</f>
        <v>1239</v>
      </c>
      <c r="R7" s="42">
        <f t="shared" ref="R7:R15" si="5">SUM(N7:Q7)</f>
        <v>1295</v>
      </c>
      <c r="S7" s="30">
        <f t="shared" ref="S7:S15" si="6">R7*((((N7*Q7)-(O7*P7))^2))</f>
        <v>3917375</v>
      </c>
      <c r="T7" s="30">
        <f t="shared" ref="T7:T15" si="7">(N7+O7)*(P7+Q7)*(N7+P7)*(O7+Q7)</f>
        <v>88250800</v>
      </c>
      <c r="U7" s="31">
        <f t="shared" ref="U7:U15" si="8">IF((S7&gt;0),S7/T7,"- -")</f>
        <v>4.4389116019344865E-2</v>
      </c>
    </row>
    <row r="8" spans="2:21" ht="18" customHeight="1" x14ac:dyDescent="0.25">
      <c r="B8" s="32" t="str">
        <f>'Data Entry'!A8</f>
        <v>3. Refer to Juvenile Court</v>
      </c>
      <c r="C8" s="33">
        <f>'Data Entry'!C8</f>
        <v>21</v>
      </c>
      <c r="D8" s="34">
        <f>IF((AND(C67&gt;0,C8&gt;0)),(C8/C67),0)</f>
        <v>2100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21</v>
      </c>
      <c r="Q8" s="42">
        <f>(C$67*L67)-C8</f>
        <v>-20</v>
      </c>
      <c r="R8" s="42">
        <f t="shared" si="5"/>
        <v>1.0500000000000007</v>
      </c>
      <c r="S8" s="30">
        <f t="shared" si="6"/>
        <v>1.1576250000000008</v>
      </c>
      <c r="T8" s="30">
        <f t="shared" si="7"/>
        <v>-20.947500000000002</v>
      </c>
      <c r="U8" s="31">
        <f t="shared" si="8"/>
        <v>-5.5263157894736875E-2</v>
      </c>
    </row>
    <row r="9" spans="2:21" ht="18" customHeight="1" x14ac:dyDescent="0.25">
      <c r="B9" s="32" t="str">
        <f>'Data Entry'!A9</f>
        <v xml:space="preserve">4. Cases Diverted </v>
      </c>
      <c r="C9" s="33">
        <f>'Data Entry'!C9</f>
        <v>4</v>
      </c>
      <c r="D9" s="34">
        <f>IF((AND(C68&gt;0,C9&gt;0)),((C9/C68)),0)</f>
        <v>19.047619047619047</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17</v>
      </c>
      <c r="R9" s="42">
        <f t="shared" si="5"/>
        <v>21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19.047619047619047</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17</v>
      </c>
      <c r="R11" s="42">
        <f t="shared" si="5"/>
        <v>21</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50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11</v>
      </c>
      <c r="D13" s="34">
        <f>IF(((AND(C70&gt;0,C13&gt;0))),(C13/(C70)),0)</f>
        <v>550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-9</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1.24</v>
      </c>
      <c r="D42" s="56">
        <f>E6/1000</f>
        <v>5.5E-2</v>
      </c>
      <c r="E42" s="56">
        <f>MAX(C42:D42)</f>
        <v>1.24</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1.24</v>
      </c>
      <c r="D48" s="56">
        <f>D42</f>
        <v>5.5E-2</v>
      </c>
      <c r="E48" s="56">
        <f>MAX(C48:D48)</f>
        <v>1.24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1.24</v>
      </c>
      <c r="D54" s="56">
        <f>D48</f>
        <v>5.5E-2</v>
      </c>
      <c r="E54" s="56">
        <f>MAX(C54:D54)</f>
        <v>1.24</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1.24</v>
      </c>
      <c r="D60" s="56">
        <f>D54</f>
        <v>5.5E-2</v>
      </c>
      <c r="E60" s="56">
        <f>MAX(C60:D60)</f>
        <v>1.24</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1.24</v>
      </c>
      <c r="D66" s="56">
        <f>D60</f>
        <v>5.5E-2</v>
      </c>
      <c r="E66" s="56">
        <f>MAX(C66:D66)</f>
        <v>1.24</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1240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0.80645161290322587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1239</v>
      </c>
      <c r="R7" s="42">
        <f t="shared" ref="R7:R15" si="5">SUM(N7:Q7)</f>
        <v>1240</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21</v>
      </c>
      <c r="D8" s="34">
        <f>IF((AND(C67&gt;0,C8&gt;0)),(C8/C67),0)</f>
        <v>2100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21</v>
      </c>
      <c r="Q8" s="42">
        <f>(C$67*L67)-C8</f>
        <v>-20</v>
      </c>
      <c r="R8" s="42">
        <f t="shared" si="5"/>
        <v>1.0500000000000007</v>
      </c>
      <c r="S8" s="30">
        <f t="shared" si="6"/>
        <v>1.1576250000000008</v>
      </c>
      <c r="T8" s="30">
        <f t="shared" si="7"/>
        <v>-20.947500000000002</v>
      </c>
      <c r="U8" s="31">
        <f t="shared" si="8"/>
        <v>-5.5263157894736875E-2</v>
      </c>
    </row>
    <row r="9" spans="2:21" ht="18" customHeight="1" x14ac:dyDescent="0.25">
      <c r="B9" s="32" t="str">
        <f>'Data Entry'!A9</f>
        <v xml:space="preserve">4. Cases Diverted </v>
      </c>
      <c r="C9" s="33">
        <f>'Data Entry'!C9</f>
        <v>4</v>
      </c>
      <c r="D9" s="34">
        <f>IF((AND(C68&gt;0,C9&gt;0)),((C9/C68)),0)</f>
        <v>19.047619047619047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4</v>
      </c>
      <c r="Q9" s="42">
        <f>(C$68*L68)-C9</f>
        <v>17</v>
      </c>
      <c r="R9" s="42">
        <f t="shared" si="5"/>
        <v>21</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21</v>
      </c>
      <c r="R10" s="42">
        <f t="shared" si="5"/>
        <v>21</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19.047619047619047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v>
      </c>
      <c r="Q11" s="42">
        <f>(C$68*L68)-C11</f>
        <v>17</v>
      </c>
      <c r="R11" s="42">
        <f t="shared" si="5"/>
        <v>21</v>
      </c>
      <c r="S11" s="30">
        <f t="shared" si="6"/>
        <v>0</v>
      </c>
      <c r="T11" s="30">
        <f t="shared" si="7"/>
        <v>0</v>
      </c>
      <c r="U11" s="31" t="str">
        <f t="shared" si="8"/>
        <v>- -</v>
      </c>
    </row>
    <row r="12" spans="2:21" ht="18" customHeight="1" x14ac:dyDescent="0.25">
      <c r="B12" s="32" t="str">
        <f>'Data Entry'!A12</f>
        <v>7. Cases Resulting in Delinquent Findings</v>
      </c>
      <c r="C12" s="33">
        <f>'Data Entry'!C12</f>
        <v>2</v>
      </c>
      <c r="D12" s="34">
        <f>IF(((AND(C69&gt;0,C12&gt;0))),(C12/(C69)),0)</f>
        <v>50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v>
      </c>
      <c r="Q12" s="42">
        <f>(C69*L69)-C12</f>
        <v>2</v>
      </c>
      <c r="R12" s="42">
        <f t="shared" si="5"/>
        <v>4</v>
      </c>
      <c r="S12" s="30">
        <f t="shared" si="6"/>
        <v>0</v>
      </c>
      <c r="T12" s="30">
        <f t="shared" si="7"/>
        <v>0</v>
      </c>
      <c r="U12" s="31" t="str">
        <f t="shared" si="8"/>
        <v>- -</v>
      </c>
    </row>
    <row r="13" spans="2:21" ht="18" customHeight="1" x14ac:dyDescent="0.25">
      <c r="B13" s="32" t="str">
        <f>'Data Entry'!A13</f>
        <v>8. Cases Resulting in Probation Placement</v>
      </c>
      <c r="C13" s="33">
        <f>'Data Entry'!C13</f>
        <v>11</v>
      </c>
      <c r="D13" s="34">
        <f>IF(((AND(C70&gt;0,C13&gt;0))),(C13/(C70)),0)</f>
        <v>550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-9</v>
      </c>
      <c r="R13" s="42">
        <f t="shared" si="5"/>
        <v>2</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2</v>
      </c>
      <c r="R14" s="42">
        <f t="shared" si="5"/>
        <v>2</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v>
      </c>
      <c r="R15" s="42">
        <f t="shared" si="5"/>
        <v>4</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1.24</v>
      </c>
      <c r="D42" s="56">
        <f>E6/1000</f>
        <v>0</v>
      </c>
      <c r="E42" s="56">
        <f>MAX(C42:D42)</f>
        <v>1.24</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0.21</v>
      </c>
      <c r="D44" s="56">
        <f>E8/100</f>
        <v>0</v>
      </c>
      <c r="E44" s="56">
        <f>MAX(C44:D44,0)</f>
        <v>0.21</v>
      </c>
      <c r="G44" s="1" t="str">
        <f>B44</f>
        <v>per 100 referrals</v>
      </c>
      <c r="L44" s="57">
        <v>100</v>
      </c>
      <c r="M44" s="57"/>
      <c r="R44" s="49"/>
    </row>
    <row r="45" spans="2:18" ht="15" hidden="1" customHeight="1" x14ac:dyDescent="0.25">
      <c r="B45" s="49" t="s">
        <v>89</v>
      </c>
      <c r="C45" s="49">
        <f>C11/100</f>
        <v>0.04</v>
      </c>
      <c r="D45" s="49">
        <f>E11/100</f>
        <v>0</v>
      </c>
      <c r="E45" s="56">
        <f>MAX(C45:D45,0)</f>
        <v>0.04</v>
      </c>
      <c r="G45" s="1" t="str">
        <f>B45</f>
        <v>per 100 youth petitioned</v>
      </c>
      <c r="L45" s="57">
        <v>100</v>
      </c>
      <c r="M45" s="57"/>
      <c r="R45" s="49"/>
    </row>
    <row r="46" spans="2:18" ht="15" hidden="1" customHeight="1" x14ac:dyDescent="0.25">
      <c r="B46" s="49" t="s">
        <v>90</v>
      </c>
      <c r="C46" s="49">
        <f>C12/100</f>
        <v>0.02</v>
      </c>
      <c r="D46" s="49">
        <f>E12/100</f>
        <v>0</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1.24</v>
      </c>
      <c r="D48" s="56">
        <f>D42</f>
        <v>0</v>
      </c>
      <c r="E48" s="56">
        <f>MAX(C48:D48)</f>
        <v>1.24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1.24</v>
      </c>
      <c r="D54" s="56">
        <f>D48</f>
        <v>0</v>
      </c>
      <c r="E54" s="56">
        <f>MAX(C54:D54)</f>
        <v>1.24</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0.21</v>
      </c>
      <c r="D56" s="49">
        <f t="shared" si="10"/>
        <v>0</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1.24</v>
      </c>
      <c r="D60" s="56">
        <f>D54</f>
        <v>0</v>
      </c>
      <c r="E60" s="56">
        <f>MAX(C60:D60)</f>
        <v>1.24</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0.21</v>
      </c>
      <c r="D62" s="49">
        <f t="shared" si="11"/>
        <v>0</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1.24</v>
      </c>
      <c r="D66" s="56">
        <f>D60</f>
        <v>0</v>
      </c>
      <c r="E66" s="56">
        <f>MAX(C66:D66)</f>
        <v>1.24</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Benzie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1240</v>
      </c>
      <c r="D6" s="34"/>
      <c r="E6" s="33">
        <f>'Data Entry'!H6</f>
        <v>30</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v>
      </c>
      <c r="D7" s="34">
        <f>IF((AND(C66&gt;0,C7&gt;0)),(C7/C66),0)</f>
        <v>0.80645161290322587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30</v>
      </c>
      <c r="P7" s="42">
        <f t="shared" ref="P7:P15" si="4">C7</f>
        <v>1</v>
      </c>
      <c r="Q7" s="42">
        <f>C6-C7</f>
        <v>1239</v>
      </c>
      <c r="R7" s="42">
        <f t="shared" ref="R7:R15" si="5">SUM(N7:Q7)</f>
        <v>1270</v>
      </c>
      <c r="S7" s="30">
        <f t="shared" ref="S7:S15" si="6">R7*((((N7*Q7)-(O7*P7))^2))</f>
        <v>1143000</v>
      </c>
      <c r="T7" s="30">
        <f t="shared" ref="T7:T15" si="7">(N7+O7)*(P7+Q7)*(N7+P7)*(O7+Q7)</f>
        <v>47206800</v>
      </c>
      <c r="U7" s="31">
        <f t="shared" ref="U7:U15" si="8">IF((S7&gt;0),S7/T7,"- -")</f>
        <v>2.4212613437047205E-2</v>
      </c>
    </row>
    <row r="8" spans="2:21" ht="18" customHeight="1" x14ac:dyDescent="0.25">
      <c r="B8" s="32" t="str">
        <f>'Data Entry'!A8</f>
        <v>3. Refer to Juvenile Court</v>
      </c>
      <c r="C8" s="33">
        <f>'Data Entry'!C8</f>
        <v>21</v>
      </c>
      <c r="D8" s="34">
        <f>IF((AND(C67&gt;0,C8&gt;0)),(C8/C67),0)</f>
        <v>2100</v>
      </c>
      <c r="E8" s="33">
        <f>'Data Entry'!H8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21</v>
      </c>
      <c r="Q8" s="42">
        <f>(C$67*L67)-C8</f>
        <v>-20</v>
      </c>
      <c r="R8" s="42">
        <f t="shared" si="5"/>
        <v>1.0500000000000007</v>
      </c>
      <c r="S8" s="30">
        <f t="shared" si="6"/>
        <v>2.6250000000000765E-3</v>
      </c>
      <c r="T8" s="30">
        <f t="shared" si="7"/>
        <v>-23.045000000000019</v>
      </c>
      <c r="U8" s="31">
        <f t="shared" si="8"/>
        <v>-1.1390757214146559E-4</v>
      </c>
    </row>
    <row r="9" spans="2:21" ht="18" customHeight="1" x14ac:dyDescent="0.25">
      <c r="B9" s="32" t="str">
        <f>'Data Entry'!A9</f>
        <v xml:space="preserve">4. Cases Diverted </v>
      </c>
      <c r="C9" s="33">
        <f>'Data Entry'!C9</f>
        <v>4</v>
      </c>
      <c r="D9" s="34">
        <f>IF((AND(C68&gt;0,C9&gt;0)),((C9/C68)),0)</f>
        <v>19.047619047619047</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4</v>
      </c>
      <c r="Q9" s="42">
        <f>(C$68*L68)-C9</f>
        <v>17</v>
      </c>
      <c r="R9" s="42">
        <f t="shared" si="5"/>
        <v>22</v>
      </c>
      <c r="S9" s="30">
        <f t="shared" si="6"/>
        <v>352</v>
      </c>
      <c r="T9" s="30">
        <f t="shared" si="7"/>
        <v>1512</v>
      </c>
      <c r="U9" s="31">
        <f t="shared" si="8"/>
        <v>0.23280423280423279</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21</v>
      </c>
      <c r="R10" s="42">
        <f t="shared" si="5"/>
        <v>22</v>
      </c>
      <c r="S10" s="30">
        <f t="shared" si="6"/>
        <v>0</v>
      </c>
      <c r="T10" s="30">
        <f t="shared" si="7"/>
        <v>0</v>
      </c>
      <c r="U10" s="31" t="str">
        <f t="shared" si="8"/>
        <v>- -</v>
      </c>
    </row>
    <row r="11" spans="2:21" ht="18" customHeight="1" x14ac:dyDescent="0.25">
      <c r="B11" s="32" t="str">
        <f>'Data Entry'!A11</f>
        <v>6. Cases Petitioned (Charge Filed)</v>
      </c>
      <c r="C11" s="33">
        <f>'Data Entry'!C11</f>
        <v>4</v>
      </c>
      <c r="D11" s="34">
        <f>IF(((AND(C68&gt;0,C11&gt;0))),(C11/(C68)),0)</f>
        <v>19.047619047619047</v>
      </c>
      <c r="E11" s="33">
        <f>'Data Entry'!H11</f>
        <v>1</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0</v>
      </c>
      <c r="P11" s="42">
        <f t="shared" si="4"/>
        <v>4</v>
      </c>
      <c r="Q11" s="42">
        <f>(C$68*L68)-C11</f>
        <v>17</v>
      </c>
      <c r="R11" s="42">
        <f t="shared" si="5"/>
        <v>22</v>
      </c>
      <c r="S11" s="30">
        <f t="shared" si="6"/>
        <v>6358</v>
      </c>
      <c r="T11" s="30">
        <f t="shared" si="7"/>
        <v>1785</v>
      </c>
      <c r="U11" s="31">
        <f t="shared" si="8"/>
        <v>3.5619047619047617</v>
      </c>
    </row>
    <row r="12" spans="2:21" ht="18" customHeight="1" x14ac:dyDescent="0.25">
      <c r="B12" s="32" t="str">
        <f>'Data Entry'!A12</f>
        <v>7. Cases Resulting in Delinquent Findings</v>
      </c>
      <c r="C12" s="33">
        <f>'Data Entry'!C12</f>
        <v>2</v>
      </c>
      <c r="D12" s="34">
        <f>IF(((AND(C69&gt;0,C12&gt;0))),(C12/(C69)),0)</f>
        <v>50</v>
      </c>
      <c r="E12" s="33">
        <f>'Data Entry'!H12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0</v>
      </c>
      <c r="P12" s="42">
        <f t="shared" si="4"/>
        <v>2</v>
      </c>
      <c r="Q12" s="42">
        <f>(C69*L69)-C12</f>
        <v>2</v>
      </c>
      <c r="R12" s="42">
        <f t="shared" si="5"/>
        <v>5</v>
      </c>
      <c r="S12" s="30">
        <f t="shared" si="6"/>
        <v>20</v>
      </c>
      <c r="T12" s="30">
        <f t="shared" si="7"/>
        <v>24</v>
      </c>
      <c r="U12" s="31">
        <f t="shared" si="8"/>
        <v>0.83333333333333337</v>
      </c>
    </row>
    <row r="13" spans="2:21" ht="18" customHeight="1" x14ac:dyDescent="0.25">
      <c r="B13" s="32" t="str">
        <f>'Data Entry'!A13</f>
        <v>8. Cases Resulting in Probation Placement</v>
      </c>
      <c r="C13" s="33">
        <f>'Data Entry'!C13</f>
        <v>11</v>
      </c>
      <c r="D13" s="34">
        <f>IF(((AND(C70&gt;0,C13&gt;0))),(C13/(C70)),0)</f>
        <v>550</v>
      </c>
      <c r="E13" s="33">
        <f>'Data Entry'!H13</f>
        <v>1</v>
      </c>
      <c r="F13" s="34">
        <f>IF(((AND($D$70&gt;0,$E$13&gt;0))),($E$13/($D$70)),0)</f>
        <v>100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1</v>
      </c>
      <c r="O13" s="42">
        <f>(D70*L70)-E13</f>
        <v>0</v>
      </c>
      <c r="P13" s="42">
        <f t="shared" si="4"/>
        <v>11</v>
      </c>
      <c r="Q13" s="42">
        <f>(C70*L70)-C13</f>
        <v>-9</v>
      </c>
      <c r="R13" s="42">
        <f t="shared" si="5"/>
        <v>3</v>
      </c>
      <c r="S13" s="30">
        <f t="shared" si="6"/>
        <v>243</v>
      </c>
      <c r="T13" s="30">
        <f t="shared" si="7"/>
        <v>-216</v>
      </c>
      <c r="U13" s="31">
        <f t="shared" si="8"/>
        <v>-1.125</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2</v>
      </c>
      <c r="R14" s="42">
        <f t="shared" si="5"/>
        <v>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v>
      </c>
      <c r="R15" s="42">
        <f t="shared" si="5"/>
        <v>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1.24</v>
      </c>
      <c r="D42" s="56">
        <f>E6/1000</f>
        <v>0.03</v>
      </c>
      <c r="E42" s="56">
        <f>MAX(C42:D42)</f>
        <v>1.24</v>
      </c>
      <c r="G42" s="1" t="str">
        <f>B42</f>
        <v>per 1000 youth</v>
      </c>
      <c r="L42" s="57">
        <v>1000</v>
      </c>
      <c r="M42" s="57"/>
      <c r="R42" s="49"/>
    </row>
    <row r="43" spans="2:18" ht="15" hidden="1" customHeight="1" x14ac:dyDescent="0.25">
      <c r="B43" s="49" t="s">
        <v>87</v>
      </c>
      <c r="C43" s="56">
        <f>C7/100</f>
        <v>0.01</v>
      </c>
      <c r="D43" s="56">
        <f>E7/100</f>
        <v>0</v>
      </c>
      <c r="E43" s="56">
        <f>MAX(C43:D43,0)</f>
        <v>0.01</v>
      </c>
      <c r="G43" s="1" t="str">
        <f>B43</f>
        <v>per 100 arrests</v>
      </c>
      <c r="L43" s="57">
        <v>100</v>
      </c>
      <c r="M43" s="57"/>
      <c r="R43" s="49"/>
    </row>
    <row r="44" spans="2:18" ht="15" hidden="1" customHeight="1" x14ac:dyDescent="0.25">
      <c r="B44" s="49" t="s">
        <v>88</v>
      </c>
      <c r="C44" s="56">
        <f>C8/100</f>
        <v>0.21</v>
      </c>
      <c r="D44" s="56">
        <f>E8/100</f>
        <v>0.01</v>
      </c>
      <c r="E44" s="56">
        <f>MAX(C44:D44,0)</f>
        <v>0.21</v>
      </c>
      <c r="G44" s="1" t="str">
        <f>B44</f>
        <v>per 100 referrals</v>
      </c>
      <c r="L44" s="57">
        <v>100</v>
      </c>
      <c r="M44" s="57"/>
      <c r="R44" s="49"/>
    </row>
    <row r="45" spans="2:18" ht="15" hidden="1" customHeight="1" x14ac:dyDescent="0.25">
      <c r="B45" s="49" t="s">
        <v>89</v>
      </c>
      <c r="C45" s="49">
        <f>C11/100</f>
        <v>0.04</v>
      </c>
      <c r="D45" s="49">
        <f>E11/100</f>
        <v>0.01</v>
      </c>
      <c r="E45" s="56">
        <f>MAX(C45:D45,0)</f>
        <v>0.04</v>
      </c>
      <c r="G45" s="1" t="str">
        <f>B45</f>
        <v>per 100 youth petitioned</v>
      </c>
      <c r="L45" s="57">
        <v>100</v>
      </c>
      <c r="M45" s="57"/>
      <c r="R45" s="49"/>
    </row>
    <row r="46" spans="2:18" ht="15" hidden="1" customHeight="1" x14ac:dyDescent="0.25">
      <c r="B46" s="49" t="s">
        <v>90</v>
      </c>
      <c r="C46" s="49">
        <f>C12/100</f>
        <v>0.02</v>
      </c>
      <c r="D46" s="49">
        <f>E12/100</f>
        <v>0.01</v>
      </c>
      <c r="E46" s="56">
        <f>MAX(C46:D46)</f>
        <v>0.02</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1.24</v>
      </c>
      <c r="D48" s="56">
        <f>D42</f>
        <v>0.03</v>
      </c>
      <c r="E48" s="56">
        <f>MAX(C48:D48)</f>
        <v>1.24</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0.21</v>
      </c>
      <c r="D50" s="49">
        <f t="shared" si="9"/>
        <v>0.01</v>
      </c>
      <c r="E50" s="49">
        <f>MAX(C50:D50)</f>
        <v>0.21</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0.04</v>
      </c>
      <c r="D51" s="49">
        <f>IF(($E45&gt;0),D45,D44)</f>
        <v>0.01</v>
      </c>
      <c r="E51" s="49">
        <f>MAX(C51:D51)</f>
        <v>0.04</v>
      </c>
      <c r="G51" s="1" t="str">
        <f>G45</f>
        <v>per 100 youth petitioned</v>
      </c>
      <c r="L51" s="58">
        <f>IF(($E45&gt;0),L45,L44)</f>
        <v>100</v>
      </c>
      <c r="M51" s="58"/>
    </row>
    <row r="52" spans="2:18" ht="15" hidden="1" customHeight="1" x14ac:dyDescent="0.25">
      <c r="B52" s="49" t="str">
        <f>IF(($E46&gt;0),B46,B45)</f>
        <v>per 100 youth found delinquent</v>
      </c>
      <c r="C52" s="49">
        <f>IF(($E46&gt;0),C46,C45)</f>
        <v>0.02</v>
      </c>
      <c r="D52" s="49">
        <f>IF(($E46&gt;0),D46,D45)</f>
        <v>0.01</v>
      </c>
      <c r="E52" s="56">
        <f>MAX(C52:D52)</f>
        <v>0.02</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1.24</v>
      </c>
      <c r="D54" s="56">
        <f>D48</f>
        <v>0.03</v>
      </c>
      <c r="E54" s="56">
        <f>MAX(C54:D54)</f>
        <v>1.24</v>
      </c>
      <c r="G54" s="1" t="str">
        <f>G48</f>
        <v>per 1000 youth</v>
      </c>
      <c r="L54" s="58">
        <f>L48</f>
        <v>1000</v>
      </c>
      <c r="M54" s="58"/>
    </row>
    <row r="55" spans="2:18" ht="15" hidden="1" customHeight="1" x14ac:dyDescent="0.25">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x14ac:dyDescent="0.25">
      <c r="B56" s="49" t="str">
        <f t="shared" si="10"/>
        <v>per 100 referrals</v>
      </c>
      <c r="C56" s="49">
        <f t="shared" si="10"/>
        <v>0.21</v>
      </c>
      <c r="D56" s="49">
        <f t="shared" si="10"/>
        <v>0.01</v>
      </c>
      <c r="E56" s="49">
        <f>MAX(C56:D56)</f>
        <v>0.21</v>
      </c>
      <c r="G56" s="1" t="str">
        <f>G50</f>
        <v>per 100 referrals</v>
      </c>
      <c r="L56" s="58">
        <f>IF(($E50&gt;0),L50,L49)</f>
        <v>100</v>
      </c>
      <c r="M56" s="58"/>
    </row>
    <row r="57" spans="2:18" ht="15" hidden="1" customHeight="1" x14ac:dyDescent="0.25">
      <c r="B57" s="49" t="str">
        <f>IF(($E51&gt;0),B51,B49)</f>
        <v>per 100 youth petitioned</v>
      </c>
      <c r="C57" s="49">
        <f>IF(($E51&gt;0),C51,C50)</f>
        <v>0.04</v>
      </c>
      <c r="D57" s="49">
        <f>IF(($E51&gt;0),D51,D50)</f>
        <v>0.01</v>
      </c>
      <c r="E57" s="49">
        <f>MAX(C57:D57)</f>
        <v>0.04</v>
      </c>
      <c r="G57" s="1" t="str">
        <f>G51</f>
        <v>per 100 youth petitioned</v>
      </c>
      <c r="L57" s="58">
        <f>IF(($E51&gt;0),L51,L50)</f>
        <v>100</v>
      </c>
      <c r="M57" s="58"/>
    </row>
    <row r="58" spans="2:18" ht="15" hidden="1" customHeight="1" x14ac:dyDescent="0.25">
      <c r="B58" s="49" t="str">
        <f>IF(($E52&gt;0),B52,B51)</f>
        <v>per 100 youth found delinquent</v>
      </c>
      <c r="C58" s="49">
        <f>IF(($E52&gt;0),C52,C51)</f>
        <v>0.02</v>
      </c>
      <c r="D58" s="49">
        <f>IF(($E52&gt;0),D52,D51)</f>
        <v>0.01</v>
      </c>
      <c r="E58" s="56">
        <f>MAX(C58:D58)</f>
        <v>0.02</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1.24</v>
      </c>
      <c r="D60" s="56">
        <f>D54</f>
        <v>0.03</v>
      </c>
      <c r="E60" s="56">
        <f>MAX(C60:D60)</f>
        <v>1.24</v>
      </c>
      <c r="G60" s="1" t="str">
        <f>G54</f>
        <v>per 1000 youth</v>
      </c>
      <c r="L60" s="58">
        <f>L54</f>
        <v>1000</v>
      </c>
      <c r="M60" s="58"/>
    </row>
    <row r="61" spans="2:18" ht="15" hidden="1" customHeight="1" x14ac:dyDescent="0.25">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x14ac:dyDescent="0.25">
      <c r="B62" s="49" t="str">
        <f t="shared" si="11"/>
        <v>per 100 referrals</v>
      </c>
      <c r="C62" s="49">
        <f t="shared" si="11"/>
        <v>0.21</v>
      </c>
      <c r="D62" s="49">
        <f t="shared" si="11"/>
        <v>0.01</v>
      </c>
      <c r="E62" s="49">
        <f>MAX(C62:D62)</f>
        <v>0.21</v>
      </c>
      <c r="G62" s="1" t="str">
        <f>G56</f>
        <v>per 100 referrals</v>
      </c>
      <c r="L62" s="58">
        <f>IF(($E56&gt;0),L56,L55)</f>
        <v>100</v>
      </c>
      <c r="M62" s="58"/>
    </row>
    <row r="63" spans="2:18" ht="15" hidden="1" customHeight="1" x14ac:dyDescent="0.25">
      <c r="B63" s="49" t="str">
        <f>IF(($E57&gt;0),B57,B55)</f>
        <v>per 100 youth petitioned</v>
      </c>
      <c r="C63" s="49">
        <f>IF(($E57&gt;0),C57,C56)</f>
        <v>0.04</v>
      </c>
      <c r="D63" s="49">
        <f>IF(($E57&gt;0),D57,D56)</f>
        <v>0.01</v>
      </c>
      <c r="E63" s="49">
        <f>MAX(C63:D63)</f>
        <v>0.04</v>
      </c>
      <c r="G63" s="1" t="str">
        <f>G57</f>
        <v>per 100 youth petitioned</v>
      </c>
      <c r="L63" s="58">
        <f>IF(($E57&gt;0),L57,L56)</f>
        <v>100</v>
      </c>
      <c r="M63" s="58"/>
    </row>
    <row r="64" spans="2:18" ht="15" hidden="1" customHeight="1" x14ac:dyDescent="0.25">
      <c r="B64" s="49" t="str">
        <f>IF(($E58&gt;0),B58,B57)</f>
        <v>per 100 youth found delinquent</v>
      </c>
      <c r="C64" s="49">
        <f>IF(($E58&gt;0),C58,C57)</f>
        <v>0.02</v>
      </c>
      <c r="D64" s="49">
        <f>IF(($E58&gt;0),D58,D57)</f>
        <v>0.01</v>
      </c>
      <c r="E64" s="56">
        <f>MAX(C64:D64)</f>
        <v>0.02</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1.24</v>
      </c>
      <c r="D66" s="56">
        <f>D60</f>
        <v>0.03</v>
      </c>
      <c r="E66" s="56">
        <f>MAX(C66:D66)</f>
        <v>1.24</v>
      </c>
      <c r="G66" s="1" t="str">
        <f>G60</f>
        <v>per 1000 youth</v>
      </c>
      <c r="L66" s="58">
        <f>L60</f>
        <v>1000</v>
      </c>
      <c r="M66" s="58">
        <f>IF((B66=G66),1,2)</f>
        <v>1</v>
      </c>
    </row>
    <row r="67" spans="2:13" ht="15" hidden="1" customHeight="1" x14ac:dyDescent="0.25">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x14ac:dyDescent="0.25">
      <c r="B68" s="49" t="str">
        <f t="shared" si="12"/>
        <v>per 100 referrals</v>
      </c>
      <c r="C68" s="49">
        <f t="shared" si="12"/>
        <v>0.21</v>
      </c>
      <c r="D68" s="49">
        <f t="shared" si="12"/>
        <v>0.01</v>
      </c>
      <c r="E68" s="49">
        <f>MAX(C68:D68)</f>
        <v>0.21</v>
      </c>
      <c r="G68" s="1" t="str">
        <f>G62</f>
        <v>per 100 referrals</v>
      </c>
      <c r="L68" s="58">
        <f>IF(($E62&gt;0),L62,L61)</f>
        <v>100</v>
      </c>
      <c r="M68" s="58">
        <f>IF((B68=G68),1,2)</f>
        <v>1</v>
      </c>
    </row>
    <row r="69" spans="2:13" ht="15" hidden="1" customHeight="1" x14ac:dyDescent="0.25">
      <c r="B69" s="49" t="str">
        <f>IF(($E63&gt;0),B63,B61)</f>
        <v>per 100 youth petitioned</v>
      </c>
      <c r="C69" s="49">
        <f>IF(($E63&gt;0),C63,C62)</f>
        <v>0.04</v>
      </c>
      <c r="D69" s="49">
        <f>IF(($E63&gt;0),D63,D62)</f>
        <v>0.01</v>
      </c>
      <c r="E69" s="49">
        <f>MAX(C69:D69)</f>
        <v>0.04</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0.02</v>
      </c>
      <c r="D70" s="49">
        <f>IF(($E64&gt;0),D64,D63)</f>
        <v>0.01</v>
      </c>
      <c r="E70" s="56">
        <f>MAX(C70:D70)</f>
        <v>0.02</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2020-07-02T15:16:47Z</dcterms:modified>
</cp:coreProperties>
</file>