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CCD0649D-30A2-4B27-AF83-A197139E4CA6}" xr6:coauthVersionLast="47" xr6:coauthVersionMax="47" xr10:uidLastSave="{D2761D91-2ECF-42BF-9372-3F828E2B4EF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5" i="2" s="1"/>
  <c r="G61" i="2" s="1"/>
  <c r="G67" i="2" s="1"/>
  <c r="G51" i="2"/>
  <c r="G57" i="2" s="1"/>
  <c r="G63" i="2" s="1"/>
  <c r="G69"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52" i="3" s="1"/>
  <c r="G58" i="3" s="1"/>
  <c r="G64" i="3" s="1"/>
  <c r="G70" i="3" s="1"/>
  <c r="G48" i="3"/>
  <c r="G54" i="3" s="1"/>
  <c r="G60" i="3" s="1"/>
  <c r="G66" i="3" s="1"/>
  <c r="L48" i="3"/>
  <c r="G51" i="3"/>
  <c r="G57" i="3"/>
  <c r="G63" i="3" s="1"/>
  <c r="G69"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46" i="6"/>
  <c r="G52" i="6"/>
  <c r="G58" i="6"/>
  <c r="G64" i="6" s="1"/>
  <c r="G70" i="6" s="1"/>
  <c r="L48" i="6"/>
  <c r="L54" i="6" s="1"/>
  <c r="L60" i="6" s="1"/>
  <c r="L66" i="6" s="1"/>
  <c r="G50" i="6"/>
  <c r="G56" i="6" s="1"/>
  <c r="G62" i="6" s="1"/>
  <c r="G68" i="6" s="1"/>
  <c r="G57" i="6"/>
  <c r="G63" i="6"/>
  <c r="G69"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M66" i="4"/>
  <c r="F27" i="4"/>
  <c r="F27" i="3"/>
  <c r="M66" i="3"/>
  <c r="F27" i="2"/>
  <c r="M66" i="2"/>
  <c r="M66" i="8"/>
  <c r="F27"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6" i="7"/>
  <c r="B52" i="7" s="1"/>
  <c r="E43" i="7"/>
  <c r="C49" i="7" s="1"/>
  <c r="E44" i="6"/>
  <c r="C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3" l="1"/>
  <c r="L52" i="7"/>
  <c r="D52" i="7"/>
  <c r="L50" i="6"/>
  <c r="B50" i="6"/>
  <c r="L49" i="7"/>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52" i="7" l="1"/>
  <c r="L58" i="7" s="1"/>
  <c r="E49" i="5"/>
  <c r="L55" i="5" s="1"/>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8" i="7" l="1"/>
  <c r="B58" i="7"/>
  <c r="L58" i="8"/>
  <c r="B58" i="8"/>
  <c r="D55" i="5"/>
  <c r="E55" i="5" s="1"/>
  <c r="D61" i="5" s="1"/>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L64" i="5"/>
  <c r="B57" i="8"/>
  <c r="B64" i="5"/>
  <c r="C57" i="8"/>
  <c r="L56" i="8"/>
  <c r="E58" i="8"/>
  <c r="L64" i="8" s="1"/>
  <c r="L64" i="3"/>
  <c r="B56"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E57" i="8"/>
  <c r="L63" i="8" s="1"/>
  <c r="D64" i="8"/>
  <c r="B64" i="8"/>
  <c r="C64" i="8"/>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L70" i="5" s="1"/>
  <c r="F8" i="5"/>
  <c r="B70" i="5" l="1"/>
  <c r="F33" i="5" s="1"/>
  <c r="B63" i="8"/>
  <c r="D63" i="8"/>
  <c r="C63" i="8"/>
  <c r="E63" i="8" s="1"/>
  <c r="D69" i="8" s="1"/>
  <c r="E64" i="8"/>
  <c r="L70" i="8" s="1"/>
  <c r="C70" i="6"/>
  <c r="D14" i="6" s="1"/>
  <c r="C70" i="3"/>
  <c r="D14" i="3" s="1"/>
  <c r="E63" i="3"/>
  <c r="C69" i="3" s="1"/>
  <c r="L70" i="6"/>
  <c r="B70" i="3"/>
  <c r="M70" i="3" s="1"/>
  <c r="L70" i="3"/>
  <c r="D70" i="6"/>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B69" i="3"/>
  <c r="M69" i="3"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B70" i="8" l="1"/>
  <c r="M70" i="8" s="1"/>
  <c r="C70" i="8"/>
  <c r="Q13" i="8" s="1"/>
  <c r="D70" i="8"/>
  <c r="F13" i="8" s="1"/>
  <c r="Q13" i="6"/>
  <c r="D13" i="6"/>
  <c r="E70" i="6"/>
  <c r="Q14" i="3"/>
  <c r="F34" i="3"/>
  <c r="Q14" i="6"/>
  <c r="D69" i="3"/>
  <c r="E69" i="3" s="1"/>
  <c r="Q13" i="3"/>
  <c r="O14" i="6"/>
  <c r="F33" i="3"/>
  <c r="Q15" i="7"/>
  <c r="F13" i="6"/>
  <c r="O13" i="6"/>
  <c r="R13" i="6" s="1"/>
  <c r="S13" i="6" s="1"/>
  <c r="U13" i="6" s="1"/>
  <c r="J13" i="6" s="1"/>
  <c r="M13" i="6" s="1"/>
  <c r="G13" i="6" s="1"/>
  <c r="Q12" i="7"/>
  <c r="B69" i="6"/>
  <c r="M69" i="6" s="1"/>
  <c r="F14" i="6"/>
  <c r="D15" i="7"/>
  <c r="E69" i="7"/>
  <c r="O13" i="3"/>
  <c r="F14" i="3"/>
  <c r="C69" i="6"/>
  <c r="D12" i="6" s="1"/>
  <c r="E70" i="3"/>
  <c r="F12" i="7"/>
  <c r="O12" i="7"/>
  <c r="O15" i="7"/>
  <c r="O14" i="3"/>
  <c r="T14" i="3" s="1"/>
  <c r="D69" i="6"/>
  <c r="F12" i="6" s="1"/>
  <c r="T10" i="3"/>
  <c r="K10" i="4"/>
  <c r="F8" i="7"/>
  <c r="T9" i="4"/>
  <c r="T11" i="4"/>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6" l="1"/>
  <c r="O15" i="3"/>
  <c r="R15" i="3" s="1"/>
  <c r="S15" i="3" s="1"/>
  <c r="U15" i="3" s="1"/>
  <c r="J15" i="3" s="1"/>
  <c r="M15" i="3" s="1"/>
  <c r="G15" i="3" s="1"/>
  <c r="I16" i="16" s="1"/>
  <c r="F14" i="8"/>
  <c r="O14" i="8"/>
  <c r="R14" i="8" s="1"/>
  <c r="S14" i="8" s="1"/>
  <c r="O12" i="3"/>
  <c r="R12" i="3" s="1"/>
  <c r="S12" i="3" s="1"/>
  <c r="E70" i="8"/>
  <c r="R14" i="6"/>
  <c r="S14" i="6" s="1"/>
  <c r="T13" i="3"/>
  <c r="F15" i="3"/>
  <c r="F12" i="3"/>
  <c r="T13" i="6"/>
  <c r="R12" i="7"/>
  <c r="S12" i="7" s="1"/>
  <c r="U10" i="4"/>
  <c r="J10" i="4" s="1"/>
  <c r="M10" i="4" s="1"/>
  <c r="G10" i="4" s="1"/>
  <c r="G11" i="16" s="1"/>
  <c r="R13" i="3"/>
  <c r="S13" i="3" s="1"/>
  <c r="U13" i="3" s="1"/>
  <c r="J13" i="3" s="1"/>
  <c r="M13" i="3" s="1"/>
  <c r="G13" i="3" s="1"/>
  <c r="K12" i="7"/>
  <c r="K13" i="3"/>
  <c r="T12" i="7"/>
  <c r="T14" i="6"/>
  <c r="K14" i="6"/>
  <c r="K15" i="7"/>
  <c r="F32" i="6"/>
  <c r="F35" i="6"/>
  <c r="T13" i="8"/>
  <c r="U13" i="8" s="1"/>
  <c r="J13" i="8" s="1"/>
  <c r="M13" i="8" s="1"/>
  <c r="T15" i="7"/>
  <c r="D15" i="6"/>
  <c r="O12" i="6"/>
  <c r="Q12" i="6"/>
  <c r="Q15" i="6"/>
  <c r="R15" i="7"/>
  <c r="S15" i="7" s="1"/>
  <c r="U15" i="7" s="1"/>
  <c r="J15" i="7" s="1"/>
  <c r="R14" i="3"/>
  <c r="S14" i="3" s="1"/>
  <c r="U14" i="3" s="1"/>
  <c r="J14" i="3" s="1"/>
  <c r="M14" i="3" s="1"/>
  <c r="G14" i="3" s="1"/>
  <c r="I15" i="16" s="1"/>
  <c r="K14" i="3"/>
  <c r="O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G13" i="9"/>
  <c r="M14" i="13"/>
  <c r="T14" i="8"/>
  <c r="L13" i="6"/>
  <c r="R14" i="16" s="1"/>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3" i="7" l="1"/>
  <c r="J13" i="7" s="1"/>
  <c r="M13" i="7" s="1"/>
  <c r="T15" i="3"/>
  <c r="K14" i="8"/>
  <c r="K15" i="3"/>
  <c r="L13" i="3"/>
  <c r="P14" i="16" s="1"/>
  <c r="U12" i="7"/>
  <c r="J12" i="7" s="1"/>
  <c r="L12" i="7" s="1"/>
  <c r="D10" i="9"/>
  <c r="L15" i="7"/>
  <c r="S16" i="16" s="1"/>
  <c r="T12" i="6"/>
  <c r="N30" i="3"/>
  <c r="G13" i="8"/>
  <c r="K14" i="16" s="1"/>
  <c r="L13" i="8"/>
  <c r="T14" i="16" s="1"/>
  <c r="I15" i="13"/>
  <c r="E14" i="9"/>
  <c r="M15" i="7"/>
  <c r="R12" i="6"/>
  <c r="S12" i="6" s="1"/>
  <c r="U12" i="6" s="1"/>
  <c r="J12" i="6" s="1"/>
  <c r="M12" i="6" s="1"/>
  <c r="G12" i="6" s="1"/>
  <c r="T15" i="6"/>
  <c r="K12" i="6"/>
  <c r="U14" i="8"/>
  <c r="J14" i="8" s="1"/>
  <c r="N30" i="8" s="1"/>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P13" i="9"/>
  <c r="K9" i="7"/>
  <c r="T14" i="2"/>
  <c r="V12" i="13"/>
  <c r="U10" i="13"/>
  <c r="X14"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M12" i="7" l="1"/>
  <c r="Y16" i="13"/>
  <c r="Q15" i="9"/>
  <c r="S13" i="16"/>
  <c r="Q12" i="9"/>
  <c r="Y13" i="13"/>
  <c r="N13" i="9"/>
  <c r="V14" i="13"/>
  <c r="U11" i="7"/>
  <c r="J11" i="7" s="1"/>
  <c r="L11" i="7" s="1"/>
  <c r="S12" i="16" s="1"/>
  <c r="I13" i="9"/>
  <c r="Q14" i="13"/>
  <c r="U10" i="7"/>
  <c r="J10" i="7" s="1"/>
  <c r="M10" i="7" s="1"/>
  <c r="U14" i="2"/>
  <c r="J14" i="2" s="1"/>
  <c r="M14" i="2" s="1"/>
  <c r="G14" i="2" s="1"/>
  <c r="E15" i="16" s="1"/>
  <c r="L12" i="6"/>
  <c r="R13" i="16" s="1"/>
  <c r="Z14" i="13"/>
  <c r="R13" i="9"/>
  <c r="U13" i="2"/>
  <c r="J13" i="2" s="1"/>
  <c r="M13" i="2" s="1"/>
  <c r="G13" i="2" s="1"/>
  <c r="E14" i="16" s="1"/>
  <c r="U12" i="8"/>
  <c r="J12" i="8" s="1"/>
  <c r="M12" i="8" s="1"/>
  <c r="G12" i="8" s="1"/>
  <c r="K13" i="16" s="1"/>
  <c r="L14" i="8"/>
  <c r="T15" i="16" s="1"/>
  <c r="M14" i="8"/>
  <c r="G14" i="8" s="1"/>
  <c r="K15" i="16" s="1"/>
  <c r="L15" i="6"/>
  <c r="R16" i="16" s="1"/>
  <c r="V15" i="13"/>
  <c r="N14" i="9"/>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4" i="9" l="1"/>
  <c r="N30" i="2"/>
  <c r="E14" i="13"/>
  <c r="M11" i="7"/>
  <c r="E15" i="13"/>
  <c r="X16" i="13"/>
  <c r="L13" i="2"/>
  <c r="N14" i="16" s="1"/>
  <c r="X13" i="13"/>
  <c r="P12" i="9"/>
  <c r="L14" i="2"/>
  <c r="N15" i="16" s="1"/>
  <c r="L10" i="7"/>
  <c r="S11" i="16" s="1"/>
  <c r="C13" i="9"/>
  <c r="C14" i="9"/>
  <c r="L12" i="8"/>
  <c r="T13" i="16" s="1"/>
  <c r="P15" i="9"/>
  <c r="I14" i="9"/>
  <c r="Z15" i="13"/>
  <c r="Q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L14" i="9"/>
  <c r="R12" i="9"/>
  <c r="T15" i="13"/>
  <c r="Y11" i="13"/>
  <c r="Z13" i="13"/>
  <c r="Q10"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<sst xmlns="http://schemas.openxmlformats.org/spreadsheetml/2006/main" count="654" uniqueCount="141">
  <si>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</si>
  <si>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</si>
  <si>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</si>
  <si>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</si>
  <si>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</si>
  <si>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</si>
  <si>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</si>
  <si>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</si>
  <si>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</si>
  <si>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</si>
  <si>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</si>
  <si>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</si>
  <si>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</si>
  <si>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</si>
  <si>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</si>
  <si>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</si>
  <si>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</si>
  <si>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</si>
  <si>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</si>
  <si>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</si>
  <si>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</si>
  <si>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</si>
  <si>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</si>
  <si>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</si>
  <si>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</si>
  <si>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</si>
  <si>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</si>
  <si>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</si>
  <si>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</si>
  <si>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</si>
  <si>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</si>
  <si>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</si>
  <si>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</si>
  <si>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</si>
  <si>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</si>
  <si>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</si>
  <si>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</si>
  <si>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</si>
  <si>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</si>
  <si>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</si>
  <si>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</si>
  <si>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</si>
  <si>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</si>
  <si>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</si>
  <si>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</si>
  <si>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</si>
  <si>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</si>
  <si>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</si>
  <si>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</si>
  <si>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</si>
  <si>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</si>
  <si>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</si>
  <si>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</si>
  <si>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</si>
  <si>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</si>
  <si>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</si>
  <si>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</si>
  <si>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</si>
  <si>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</si>
  <si>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</si>
  <si>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</si>
  <si>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</si>
  <si>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</si>
  <si>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</si>
  <si>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</si>
  <si>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</si>
  <si>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</si>
  <si>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</si>
  <si>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</si>
  <si>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</si>
  <si>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</si>
  <si>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</si>
  <si>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</si>
  <si>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</si>
  <si>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</si>
  <si>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</si>
  <si>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</si>
  <si>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</si>
  <si>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</si>
  <si>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</si>
  <si>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</si>
  <si>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</si>
  <si>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</si>
  <si>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</si>
  <si>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</si>
  <si>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</si>
  <si>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</si>
  <si>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</si>
  <si>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</si>
  <si>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</si>
  <si>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</si>
  <si>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</si>
  <si>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</si>
  <si>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</si>
  <si>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</si>
  <si>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</si>
  <si>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</si>
  <si>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</si>
  <si>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</si>
  <si>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</si>
  <si>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</si>
  <si>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</si>
  <si>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</si>
  <si>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</si>
  <si>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</si>
  <si>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</si>
  <si>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</si>
  <si>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</si>
  <si>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</si>
  <si>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</si>
  <si>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</si>
  <si>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</si>
  <si>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</si>
  <si>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</si>
  <si>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</si>
  <si>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</si>
  <si>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</si>
  <si>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</si>
  <si>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</si>
  <si>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</si>
  <si>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</si>
  <si>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</si>
  <si>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</si>
  <si>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</si>
  <si>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</si>
  <si>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</si>
  <si>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</si>
  <si>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</si>
  <si>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</si>
  <si>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</si>
  <si>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</si>
  <si>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</si>
  <si>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</si>
  <si>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</si>
  <si>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</si>
  <si>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</si>
  <si>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Bay</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</si>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</sst>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Bay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N=39</c:v>
                </c:pt>
                <c:pt idx="2">
                  <c:v>Delinquent Findings, total N=56</c:v>
                </c:pt>
                <c:pt idx="3">
                  <c:v>Petitions, total N=103</c:v>
                </c:pt>
                <c:pt idx="4">
                  <c:v>Detentions, total N=82</c:v>
                </c:pt>
                <c:pt idx="5">
                  <c:v>Referrals, total N=175</c:v>
                </c:pt>
                <c:pt idx="6">
                  <c:v>Arrests, total N=107</c:v>
                </c:pt>
                <c:pt idx="7">
                  <c:v>Population, total N=9806</c:v>
                </c:pt>
              </c:strCache>
            </c:strRef>
          </c:cat>
          <c:val>
            <c:numRef>
              <c:f>'Stacked 100%'!$B$7:$B$14</c:f>
              <c:numCache>
                <c:formatCode>0%</c:formatCode>
                <c:ptCount val="8"/>
                <c:pt idx="0">
                  <c:v>0</c:v>
                </c:pt>
                <c:pt idx="1">
                  <c:v>0.53846153846153844</c:v>
                </c:pt>
                <c:pt idx="2">
                  <c:v>0.375</c:v>
                </c:pt>
                <c:pt idx="3">
                  <c:v>0.28155339805825241</c:v>
                </c:pt>
                <c:pt idx="4">
                  <c:v>0.35365853658536583</c:v>
                </c:pt>
                <c:pt idx="5">
                  <c:v>0.25714285714285712</c:v>
                </c:pt>
                <c:pt idx="6">
                  <c:v>0.28037383177570091</c:v>
                </c:pt>
                <c:pt idx="7">
                  <c:v>4.5890271262492351E-2</c:v>
                </c:pt>
              </c:numCache>
            </c:numRef>
          </c:val>
          <c:extLst>
            <c:ext xmlns:c16="http://schemas.microsoft.com/office/drawing/2014/chart" uri="{C3380CC4-5D6E-409C-BE32-E72D297353CC}">
              <c16:uniqueId val="{00000000-4544-4977-B929-9D669DC832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N=39</c:v>
                </c:pt>
                <c:pt idx="2">
                  <c:v>Delinquent Findings, total N=56</c:v>
                </c:pt>
                <c:pt idx="3">
                  <c:v>Petitions, total N=103</c:v>
                </c:pt>
                <c:pt idx="4">
                  <c:v>Detentions, total N=82</c:v>
                </c:pt>
                <c:pt idx="5">
                  <c:v>Referrals, total N=175</c:v>
                </c:pt>
                <c:pt idx="6">
                  <c:v>Arrests, total N=107</c:v>
                </c:pt>
                <c:pt idx="7">
                  <c:v>Population, total N=9806</c:v>
                </c:pt>
              </c:strCache>
            </c:strRef>
          </c:cat>
          <c:val>
            <c:numRef>
              <c:f>'Stacked 100%'!$C$7:$C$14</c:f>
              <c:numCache>
                <c:formatCode>0%</c:formatCode>
                <c:ptCount val="8"/>
                <c:pt idx="0">
                  <c:v>0</c:v>
                </c:pt>
                <c:pt idx="1">
                  <c:v>0</c:v>
                </c:pt>
                <c:pt idx="2">
                  <c:v>0</c:v>
                </c:pt>
                <c:pt idx="3">
                  <c:v>0</c:v>
                </c:pt>
                <c:pt idx="4">
                  <c:v>0</c:v>
                </c:pt>
                <c:pt idx="5">
                  <c:v>0</c:v>
                </c:pt>
                <c:pt idx="6">
                  <c:v>9.3457943925233638E-3</c:v>
                </c:pt>
                <c:pt idx="7">
                  <c:v>0.1042219049561493</c:v>
                </c:pt>
              </c:numCache>
            </c:numRef>
          </c:val>
          <c:extLst>
            <c:ext xmlns:c16="http://schemas.microsoft.com/office/drawing/2014/chart" uri="{C3380CC4-5D6E-409C-BE32-E72D297353CC}">
              <c16:uniqueId val="{00000001-4544-4977-B929-9D669DC832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N=39</c:v>
                </c:pt>
                <c:pt idx="2">
                  <c:v>Delinquent Findings, total N=56</c:v>
                </c:pt>
                <c:pt idx="3">
                  <c:v>Petitions, total N=103</c:v>
                </c:pt>
                <c:pt idx="4">
                  <c:v>Detentions, total N=82</c:v>
                </c:pt>
                <c:pt idx="5">
                  <c:v>Referrals, total N=175</c:v>
                </c:pt>
                <c:pt idx="6">
                  <c:v>Arrests, total N=107</c:v>
                </c:pt>
                <c:pt idx="7">
                  <c:v>Population, total N=9806</c:v>
                </c:pt>
              </c:strCache>
            </c:strRef>
          </c:cat>
          <c:val>
            <c:numRef>
              <c:f>'Stacked 100%'!$H$7:$H$14</c:f>
              <c:numCache>
                <c:formatCode>0%</c:formatCode>
                <c:ptCount val="8"/>
                <c:pt idx="0">
                  <c:v>0</c:v>
                </c:pt>
                <c:pt idx="1">
                  <c:v>1.3149243918474686E-3</c:v>
                </c:pt>
                <c:pt idx="2">
                  <c:v>3.1887755102040814E-4</c:v>
                </c:pt>
                <c:pt idx="3">
                  <c:v>9.4259590913375421E-5</c:v>
                </c:pt>
                <c:pt idx="4">
                  <c:v>0</c:v>
                </c:pt>
                <c:pt idx="5">
                  <c:v>3.2653061224489793E-5</c:v>
                </c:pt>
                <c:pt idx="6">
                  <c:v>0</c:v>
                </c:pt>
                <c:pt idx="7">
                  <c:v>1.3311475336186511E-6</c:v>
                </c:pt>
              </c:numCache>
            </c:numRef>
          </c:val>
          <c:extLst>
            <c:ext xmlns:c16="http://schemas.microsoft.com/office/drawing/2014/chart" uri="{C3380CC4-5D6E-409C-BE32-E72D297353CC}">
              <c16:uniqueId val="{00000002-4544-4977-B929-9D669DC832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N=39</c:v>
                </c:pt>
                <c:pt idx="2">
                  <c:v>Delinquent Findings, total N=56</c:v>
                </c:pt>
                <c:pt idx="3">
                  <c:v>Petitions, total N=103</c:v>
                </c:pt>
                <c:pt idx="4">
                  <c:v>Detentions, total N=82</c:v>
                </c:pt>
                <c:pt idx="5">
                  <c:v>Referrals, total N=175</c:v>
                </c:pt>
                <c:pt idx="6">
                  <c:v>Arrests, total N=107</c:v>
                </c:pt>
                <c:pt idx="7">
                  <c:v>Population, total N=9806</c:v>
                </c:pt>
              </c:strCache>
            </c:strRef>
          </c:cat>
          <c:val>
            <c:numRef>
              <c:f>'Stacked 100%'!$I$7:$I$14</c:f>
              <c:numCache>
                <c:formatCode>0%</c:formatCode>
                <c:ptCount val="8"/>
                <c:pt idx="0">
                  <c:v>0</c:v>
                </c:pt>
                <c:pt idx="1">
                  <c:v>0.41025641025641024</c:v>
                </c:pt>
                <c:pt idx="2">
                  <c:v>0.6071428571428571</c:v>
                </c:pt>
                <c:pt idx="3">
                  <c:v>0.70873786407766992</c:v>
                </c:pt>
                <c:pt idx="4">
                  <c:v>0.64634146341463417</c:v>
                </c:pt>
                <c:pt idx="5">
                  <c:v>0.7371428571428571</c:v>
                </c:pt>
                <c:pt idx="6">
                  <c:v>0.69158878504672894</c:v>
                </c:pt>
                <c:pt idx="7">
                  <c:v>0.83683459106669389</c:v>
                </c:pt>
              </c:numCache>
            </c:numRef>
          </c:val>
          <c:extLst>
            <c:ext xmlns:c16="http://schemas.microsoft.com/office/drawing/2014/chart" uri="{C3380CC4-5D6E-409C-BE32-E72D297353CC}">
              <c16:uniqueId val="{00000003-4544-4977-B929-9D669DC832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N=39</c:v>
                </c:pt>
                <c:pt idx="2">
                  <c:v>Delinquent Findings, total N=56</c:v>
                </c:pt>
                <c:pt idx="3">
                  <c:v>Petitions, total N=103</c:v>
                </c:pt>
                <c:pt idx="4">
                  <c:v>Detentions, total N=82</c:v>
                </c:pt>
                <c:pt idx="5">
                  <c:v>Referrals, total N=175</c:v>
                </c:pt>
                <c:pt idx="6">
                  <c:v>Arrests, total N=107</c:v>
                </c:pt>
                <c:pt idx="7">
                  <c:v>Population, total N=9806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544-4977-B929-9D669DC832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9806</v>
      </c>
      <c r="C6" s="11">
        <v>8206</v>
      </c>
      <c r="D6" s="11">
        <v>450</v>
      </c>
      <c r="E6" s="11">
        <v>1022</v>
      </c>
      <c r="F6" s="11">
        <v>69</v>
      </c>
      <c r="G6" s="11"/>
      <c r="H6" s="11">
        <v>59</v>
      </c>
      <c r="I6" s="11"/>
      <c r="J6" s="91">
        <f>SUM(D6:I6)</f>
        <v>1600</v>
      </c>
      <c r="K6" s="92"/>
    </row>
    <row r="7" spans="1:11" ht="15.75" customHeight="1" thickBot="1">
      <c r="A7" s="10" t="s">
        <v>8</v>
      </c>
      <c r="B7" s="11">
        <f t="shared" ref="B7:B15" si="0">SUM(C7:I7)+K7</f>
        <v>107</v>
      </c>
      <c r="C7" s="11">
        <v>74</v>
      </c>
      <c r="D7" s="11">
        <v>30</v>
      </c>
      <c r="E7" s="11">
        <v>1</v>
      </c>
      <c r="F7" s="11">
        <v>0</v>
      </c>
      <c r="G7" s="11">
        <v>0</v>
      </c>
      <c r="H7" s="11">
        <v>0</v>
      </c>
      <c r="I7" s="11"/>
      <c r="J7" s="91">
        <f t="shared" ref="J7:J15" si="1">SUM(D7:I7)</f>
        <v>31</v>
      </c>
      <c r="K7" s="92">
        <v>2</v>
      </c>
    </row>
    <row r="8" spans="1:11" ht="15.75" customHeight="1" thickBot="1">
      <c r="A8" s="10" t="s">
        <v>9</v>
      </c>
      <c r="B8" s="11">
        <f t="shared" si="0"/>
        <v>175</v>
      </c>
      <c r="C8" s="11">
        <v>129</v>
      </c>
      <c r="D8" s="11">
        <v>45</v>
      </c>
      <c r="E8" s="11"/>
      <c r="F8" s="11"/>
      <c r="G8" s="11"/>
      <c r="H8" s="11"/>
      <c r="I8" s="11">
        <v>1</v>
      </c>
      <c r="J8" s="91">
        <f t="shared" si="1"/>
        <v>46</v>
      </c>
      <c r="K8" s="92"/>
    </row>
    <row r="9" spans="1:11" ht="15.75" customHeight="1" thickBot="1">
      <c r="A9" s="10" t="s">
        <v>10</v>
      </c>
      <c r="B9" s="11">
        <f t="shared" si="0"/>
        <v>23</v>
      </c>
      <c r="C9" s="11">
        <v>21</v>
      </c>
      <c r="D9" s="11">
        <v>2</v>
      </c>
      <c r="E9" s="11"/>
      <c r="F9" s="11"/>
      <c r="G9" s="11"/>
      <c r="H9" s="11"/>
      <c r="I9" s="11"/>
      <c r="J9" s="91">
        <f t="shared" si="1"/>
        <v>2</v>
      </c>
      <c r="K9" s="92"/>
    </row>
    <row r="10" spans="1:11" ht="15.75" customHeight="1" thickBot="1">
      <c r="A10" s="10" t="s">
        <v>11</v>
      </c>
      <c r="B10" s="11">
        <f t="shared" si="0"/>
        <v>82</v>
      </c>
      <c r="C10" s="11">
        <v>53</v>
      </c>
      <c r="D10" s="11">
        <v>29</v>
      </c>
      <c r="E10" s="11"/>
      <c r="F10" s="11"/>
      <c r="G10" s="11"/>
      <c r="H10" s="11"/>
      <c r="I10" s="11"/>
      <c r="J10" s="91">
        <f t="shared" si="1"/>
        <v>29</v>
      </c>
      <c r="K10" s="92"/>
    </row>
    <row r="11" spans="1:11" ht="15.75" customHeight="1" thickBot="1">
      <c r="A11" s="10" t="s">
        <v>12</v>
      </c>
      <c r="B11" s="11">
        <f t="shared" si="0"/>
        <v>103</v>
      </c>
      <c r="C11" s="11">
        <v>73</v>
      </c>
      <c r="D11" s="11">
        <v>29</v>
      </c>
      <c r="E11" s="11"/>
      <c r="F11" s="11"/>
      <c r="G11" s="11"/>
      <c r="H11" s="11"/>
      <c r="I11" s="11">
        <v>1</v>
      </c>
      <c r="J11" s="91">
        <f t="shared" si="1"/>
        <v>30</v>
      </c>
      <c r="K11" s="92"/>
    </row>
    <row r="12" spans="1:11" ht="15.75" customHeight="1" thickBot="1">
      <c r="A12" s="10" t="s">
        <v>13</v>
      </c>
      <c r="B12" s="11">
        <f t="shared" si="0"/>
        <v>56</v>
      </c>
      <c r="C12" s="11">
        <v>34</v>
      </c>
      <c r="D12" s="11">
        <v>21</v>
      </c>
      <c r="E12" s="11"/>
      <c r="F12" s="11"/>
      <c r="G12" s="11"/>
      <c r="H12" s="11"/>
      <c r="I12" s="11">
        <v>1</v>
      </c>
      <c r="J12" s="91">
        <f t="shared" si="1"/>
        <v>22</v>
      </c>
      <c r="K12" s="92"/>
    </row>
    <row r="13" spans="1:11" ht="15.75" customHeight="1" thickBot="1">
      <c r="A13" s="10" t="s">
        <v>133</v>
      </c>
      <c r="B13" s="11">
        <f t="shared" si="0"/>
        <v>114</v>
      </c>
      <c r="C13" s="11">
        <v>83</v>
      </c>
      <c r="D13" s="11">
        <v>30</v>
      </c>
      <c r="E13" s="11"/>
      <c r="F13" s="11"/>
      <c r="G13" s="11"/>
      <c r="H13" s="11"/>
      <c r="I13" s="11">
        <v>1</v>
      </c>
      <c r="J13" s="91">
        <f t="shared" si="1"/>
        <v>31</v>
      </c>
      <c r="K13" s="92"/>
    </row>
    <row r="14" spans="1:11" ht="26.25" customHeight="1" thickBot="1">
      <c r="A14" s="10" t="s">
        <v>123</v>
      </c>
      <c r="B14" s="11">
        <f t="shared" si="0"/>
        <v>39</v>
      </c>
      <c r="C14" s="11">
        <v>16</v>
      </c>
      <c r="D14" s="11">
        <v>21</v>
      </c>
      <c r="E14" s="11"/>
      <c r="F14" s="11"/>
      <c r="G14" s="11"/>
      <c r="H14" s="11"/>
      <c r="I14" s="11">
        <v>2</v>
      </c>
      <c r="J14" s="91">
        <f t="shared" si="1"/>
        <v>23</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74</v>
      </c>
      <c r="Q7" s="42">
        <f>C6-C7</f>
        <v>8132</v>
      </c>
      <c r="R7" s="42">
        <f t="shared" ref="R7:R15" si="5">SUM(N7:Q7)</f>
        <v>8206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129</v>
      </c>
      <c r="D8" s="34">
        <f>IF((AND(C67&gt;0,C8&gt;0)),(C8/C67),0)</f>
        <v>174.32432432432432</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129</v>
      </c>
      <c r="Q8" s="42">
        <f>(C$67*L67)-C8</f>
        <v>-55</v>
      </c>
      <c r="R8" s="42">
        <f t="shared" si="5"/>
        <v>74.050000000000011</v>
      </c>
      <c r="S8" s="30">
        <f t="shared" si="6"/>
        <v>337890.33512500004</v>
      </c>
      <c r="T8" s="30">
        <f t="shared" si="7"/>
        <v>-26911.950000000026</v>
      </c>
      <c r="U8" s="31">
        <f t="shared" si="8"/>
        <v>-12.555401415542155</v>
      </c>
    </row>
    <row r="9" spans="2:21" ht="18" customHeight="1">
      <c r="B9" s="32" t="str">
        <f>'Data Entry'!A9</f>
        <v xml:space="preserve">4. Cases Diverted </v>
      </c>
      <c r="C9" s="33">
        <f>'Data Entry'!C9</f>
        <v>21</v>
      </c>
      <c r="D9" s="34">
        <f>IF((AND(C68&gt;0,C9&gt;0)),((C9/C68)),0)</f>
        <v>16.279069767441861</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21</v>
      </c>
      <c r="Q9" s="42">
        <f>(C$68*L68)-C9</f>
        <v>108</v>
      </c>
      <c r="R9" s="42">
        <f t="shared" si="5"/>
        <v>130</v>
      </c>
      <c r="S9" s="30">
        <f t="shared" si="6"/>
        <v>57330</v>
      </c>
      <c r="T9" s="30">
        <f t="shared" si="7"/>
        <v>295281</v>
      </c>
      <c r="U9" s="31">
        <f t="shared" si="8"/>
        <v>0.19415404309793044</v>
      </c>
    </row>
    <row r="10" spans="2:21" ht="18" customHeight="1">
      <c r="B10" s="32" t="str">
        <f>'Data Entry'!A10</f>
        <v>5. Cases Involving Secure Detention</v>
      </c>
      <c r="C10" s="33">
        <f>'Data Entry'!C10</f>
        <v>53</v>
      </c>
      <c r="D10" s="34">
        <f>IF(((AND(C68&gt;0,C10&gt;0))),(C10/(C68)),0)</f>
        <v>41.085271317829459</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53</v>
      </c>
      <c r="Q10" s="42">
        <f>(C$68*L68)-C10</f>
        <v>76</v>
      </c>
      <c r="R10" s="42">
        <f t="shared" si="5"/>
        <v>130</v>
      </c>
      <c r="S10" s="30">
        <f t="shared" si="6"/>
        <v>365170</v>
      </c>
      <c r="T10" s="30">
        <f t="shared" si="7"/>
        <v>526449</v>
      </c>
      <c r="U10" s="31">
        <f t="shared" si="8"/>
        <v>0.69364743783348437</v>
      </c>
    </row>
    <row r="11" spans="2:21" ht="18" customHeight="1">
      <c r="B11" s="32" t="str">
        <f>'Data Entry'!A11</f>
        <v>6. Cases Petitioned (Charge Filed)</v>
      </c>
      <c r="C11" s="33">
        <f>'Data Entry'!C11</f>
        <v>73</v>
      </c>
      <c r="D11" s="34">
        <f>IF(((AND(C68&gt;0,C11&gt;0))),(C11/(C68)),0)</f>
        <v>56.589147286821706</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73</v>
      </c>
      <c r="Q11" s="42">
        <f>(C$68*L68)-C11</f>
        <v>56</v>
      </c>
      <c r="R11" s="42">
        <f t="shared" si="5"/>
        <v>130</v>
      </c>
      <c r="S11" s="30">
        <f t="shared" si="6"/>
        <v>407680</v>
      </c>
      <c r="T11" s="30">
        <f t="shared" si="7"/>
        <v>534576</v>
      </c>
      <c r="U11" s="31">
        <f t="shared" si="8"/>
        <v>0.76262308820448355</v>
      </c>
    </row>
    <row r="12" spans="2:21" ht="18" customHeight="1">
      <c r="B12" s="32" t="str">
        <f>'Data Entry'!A12</f>
        <v>7. Cases Resulting in Delinquent Findings</v>
      </c>
      <c r="C12" s="33">
        <f>'Data Entry'!C12</f>
        <v>34</v>
      </c>
      <c r="D12" s="34">
        <f>IF(((AND(C69&gt;0,C12&gt;0))),(C12/(C69)),0)</f>
        <v>46.575342465753423</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34</v>
      </c>
      <c r="Q12" s="42">
        <f>(C69*L69)-C12</f>
        <v>39</v>
      </c>
      <c r="R12" s="42">
        <f t="shared" si="5"/>
        <v>74</v>
      </c>
      <c r="S12" s="30">
        <f t="shared" si="6"/>
        <v>112554</v>
      </c>
      <c r="T12" s="30">
        <f t="shared" si="7"/>
        <v>99645</v>
      </c>
      <c r="U12" s="31">
        <f t="shared" si="8"/>
        <v>1.1295499021526418</v>
      </c>
    </row>
    <row r="13" spans="2:21" ht="18" customHeight="1">
      <c r="B13" s="32" t="str">
        <f>'Data Entry'!A13</f>
        <v>8. Cases Resulting in Probation Placement</v>
      </c>
      <c r="C13" s="33">
        <f>'Data Entry'!C13</f>
        <v>83</v>
      </c>
      <c r="D13" s="34">
        <f>IF(((AND(C70&gt;0,C13&gt;0))),(C13/(C70)),0)</f>
        <v>244.11764705882351</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83</v>
      </c>
      <c r="Q13" s="42">
        <f>(C70*L70)-C13</f>
        <v>-49</v>
      </c>
      <c r="R13" s="42">
        <f t="shared" si="5"/>
        <v>35</v>
      </c>
      <c r="S13" s="30">
        <f t="shared" si="6"/>
        <v>84035</v>
      </c>
      <c r="T13" s="30">
        <f t="shared" si="7"/>
        <v>-139944</v>
      </c>
      <c r="U13" s="31">
        <f t="shared" si="8"/>
        <v>-0.60049019607843135</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Entry'!I14</f>
        <v>2</v>
      </c>
      <c r="F14" s="34">
        <f>IF(((AND($D$70&gt;0,$E$14&gt;0))), (($E$14/($D$70))),0)</f>
        <v>200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2</v>
      </c>
      <c r="O14" s="42">
        <f>(D70*L70)-E14</f>
        <v>-1</v>
      </c>
      <c r="P14" s="42">
        <f t="shared" si="4"/>
        <v>16</v>
      </c>
      <c r="Q14" s="42">
        <f>(C70*L70)-C14</f>
        <v>18</v>
      </c>
      <c r="R14" s="42">
        <f t="shared" si="5"/>
        <v>35</v>
      </c>
      <c r="S14" s="30">
        <f t="shared" si="6"/>
        <v>94640</v>
      </c>
      <c r="T14" s="30">
        <f t="shared" si="7"/>
        <v>10404</v>
      </c>
      <c r="U14" s="31">
        <f t="shared" si="8"/>
        <v>9.0965013456362929</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73</v>
      </c>
      <c r="R15" s="42">
        <f t="shared" si="5"/>
        <v>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0</v>
      </c>
      <c r="E42" s="56">
        <f>MAX(C42:D42)</f>
        <v>8.2059999999999995</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1.29</v>
      </c>
      <c r="D44" s="56">
        <f>E8/100</f>
        <v>0.01</v>
      </c>
      <c r="E44" s="56">
        <f>MAX(C44:D44,0)</f>
        <v>1.29</v>
      </c>
      <c r="G44" s="1" t="str">
        <f>B44</f>
        <v>per 100 referrals</v>
      </c>
      <c r="L44" s="57">
        <v>100</v>
      </c>
      <c r="M44" s="57"/>
      <c r="R44" s="49"/>
    </row>
    <row r="45" spans="2:18" ht="15" hidden="1" customHeight="1">
      <c r="B45" s="49" t="s">
        <v>89</v>
      </c>
      <c r="C45" s="49">
        <f>C11/100</f>
        <v>0.73</v>
      </c>
      <c r="D45" s="49">
        <f>E11/100</f>
        <v>0.01</v>
      </c>
      <c r="E45" s="56">
        <f>MAX(C45:D45,0)</f>
        <v>0.73</v>
      </c>
      <c r="G45" s="1" t="str">
        <f>B45</f>
        <v>per 100 youth petitioned</v>
      </c>
      <c r="L45" s="57">
        <v>100</v>
      </c>
      <c r="M45" s="57"/>
      <c r="R45" s="49"/>
    </row>
    <row r="46" spans="2:18" ht="15" hidden="1" customHeight="1">
      <c r="B46" s="49" t="s">
        <v>90</v>
      </c>
      <c r="C46" s="49">
        <f>C12/100</f>
        <v>0.34</v>
      </c>
      <c r="D46" s="49">
        <f>E12/100</f>
        <v>0.01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0</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0.01</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0.01</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0</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0.01</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0.01</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0</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0.01</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0.01</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0</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0.01</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0.01</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0.01</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Entry'!J6</f>
        <v>1600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Entry'!J7</f>
        <v>31</v>
      </c>
      <c r="F7" s="34">
        <f>IF((AND($E$7&gt;0,$D$66&gt;0)),($E$7/$D$66),0)</f>
        <v>19.375</v>
      </c>
      <c r="G7" s="39">
        <f t="shared" ref="G7:G15" si="0">IF(L$6=100,"*",IF(M7=FALSE,"--",IF(K7=20,"**",($F7/$D7))))</f>
        <v>2.1485304054054053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31</v>
      </c>
      <c r="O7" s="42">
        <f>E6-E7</f>
        <v>1569</v>
      </c>
      <c r="P7" s="42">
        <f t="shared" ref="P7:P15" si="4">C7</f>
        <v>74</v>
      </c>
      <c r="Q7" s="42">
        <f>C6-C7</f>
        <v>8132</v>
      </c>
      <c r="R7" s="42">
        <f t="shared" ref="R7:R15" si="5">SUM(N7:Q7)</f>
        <v>9806</v>
      </c>
      <c r="S7" s="30">
        <f t="shared" ref="S7:S15" si="6">R7*((((N7*Q7)-(O7*P7))^2))</f>
        <v>181334436673976</v>
      </c>
      <c r="T7" s="30">
        <f t="shared" ref="T7:T15" si="7">(N7+O7)*(P7+Q7)*(N7+P7)*(O7+Q7)</f>
        <v>13373876208000</v>
      </c>
      <c r="U7" s="31">
        <f t="shared" ref="U7:U15" si="8">IF((S7&gt;0),S7/T7,"- -")</f>
        <v>13.558854131273113</v>
      </c>
    </row>
    <row r="8" spans="2:21" ht="18" customHeight="1">
      <c r="B8" s="32" t="str">
        <f>'Data Entry'!A8</f>
        <v>3. Refer to Juvenile Court</v>
      </c>
      <c r="C8" s="33">
        <f>'Data Entry'!C8</f>
        <v>129</v>
      </c>
      <c r="D8" s="34">
        <f>IF((AND(C67&gt;0,C8&gt;0)),(C8/C67),0)</f>
        <v>174.32432432432432</v>
      </c>
      <c r="E8" s="33">
        <f>'Data Entry'!J8</f>
        <v>46</v>
      </c>
      <c r="F8" s="34">
        <f>IF((AND($E$8&gt;0,$D$67&gt;0)),($E8/$D67),0)</f>
        <v>148.38709677419354</v>
      </c>
      <c r="G8" s="39">
        <f t="shared" si="0"/>
        <v>0.85121280320080017</v>
      </c>
      <c r="H8" s="40"/>
      <c r="I8" s="41"/>
      <c r="J8" s="40">
        <f>IF((ABS($U8)&gt;Defaults!D$7),1,2)</f>
        <v>2</v>
      </c>
      <c r="K8" s="39">
        <f>IF((AND(N8&gt;Defaults!B$12,(N8+O8)&gt;Defaults!B$13, P8 &gt; Defaults!B$12, (P8+Q8) &gt; Defaults!B$13)),1,20)</f>
        <v>1</v>
      </c>
      <c r="L8" s="1">
        <f t="shared" si="1"/>
        <v>2</v>
      </c>
      <c r="M8" s="1" t="b">
        <f t="shared" si="2"/>
        <v>1</v>
      </c>
      <c r="N8" s="42">
        <f t="shared" si="3"/>
        <v>46</v>
      </c>
      <c r="O8" s="42">
        <f>((D67*L67)-E8)+0.05</f>
        <v>-14.95</v>
      </c>
      <c r="P8" s="42">
        <f t="shared" si="4"/>
        <v>129</v>
      </c>
      <c r="Q8" s="42">
        <f>(C$67*L67)-C8</f>
        <v>-55</v>
      </c>
      <c r="R8" s="42">
        <f t="shared" si="5"/>
        <v>105.05000000000001</v>
      </c>
      <c r="S8" s="30">
        <f t="shared" si="6"/>
        <v>38001007.867625006</v>
      </c>
      <c r="T8" s="30">
        <f t="shared" si="7"/>
        <v>-28126720.125000004</v>
      </c>
      <c r="U8" s="31">
        <f t="shared" si="8"/>
        <v>-1.3510643153109201</v>
      </c>
    </row>
    <row r="9" spans="2:21" ht="18" customHeight="1">
      <c r="B9" s="32" t="str">
        <f>'Data Entry'!A9</f>
        <v xml:space="preserve">4. Cases Diverted </v>
      </c>
      <c r="C9" s="33">
        <f>'Data Entry'!C9</f>
        <v>21</v>
      </c>
      <c r="D9" s="34">
        <f>IF((AND(C68&gt;0,C9&gt;0)),((C9/C68)),0)</f>
        <v>16.279069767441861</v>
      </c>
      <c r="E9" s="33">
        <f>'Data Entry'!J9</f>
        <v>2</v>
      </c>
      <c r="F9" s="34">
        <f>IF((AND($E$9&gt;0,$D$68&gt;0)),(($E$9/$D$68)),0)</f>
        <v>4.3478260869565215</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2</v>
      </c>
      <c r="O9" s="42">
        <f>(D$68*L68)-E9</f>
        <v>44</v>
      </c>
      <c r="P9" s="42">
        <f t="shared" si="4"/>
        <v>21</v>
      </c>
      <c r="Q9" s="42">
        <f>(C$68*L68)-C9</f>
        <v>108</v>
      </c>
      <c r="R9" s="42">
        <f t="shared" si="5"/>
        <v>175</v>
      </c>
      <c r="S9" s="30">
        <f t="shared" si="6"/>
        <v>87721200</v>
      </c>
      <c r="T9" s="30">
        <f t="shared" si="7"/>
        <v>20745264</v>
      </c>
      <c r="U9" s="31">
        <f t="shared" si="8"/>
        <v>4.2284928261216637</v>
      </c>
    </row>
    <row r="10" spans="2:21" ht="18" customHeight="1">
      <c r="B10" s="32" t="str">
        <f>'Data Entry'!A10</f>
        <v>5. Cases Involving Secure Detention</v>
      </c>
      <c r="C10" s="33">
        <f>'Data Entry'!C10</f>
        <v>53</v>
      </c>
      <c r="D10" s="34">
        <f>IF(((AND(C68&gt;0,C10&gt;0))),(C10/(C68)),0)</f>
        <v>41.085271317829459</v>
      </c>
      <c r="E10" s="33">
        <f>'Data Entry'!J10</f>
        <v>29</v>
      </c>
      <c r="F10" s="34">
        <f>IF(((AND($E$10&gt;0,$D$68&gt;0))),($E$10/($D$68)),0)</f>
        <v>63.043478260869563</v>
      </c>
      <c r="G10" s="39">
        <f t="shared" si="0"/>
        <v>1.5344544708777685</v>
      </c>
      <c r="H10" s="40"/>
      <c r="I10" s="41"/>
      <c r="J10" s="40">
        <f>IF((ABS($U10)&gt;Defaults!D$7),1,2)</f>
        <v>1</v>
      </c>
      <c r="K10" s="39">
        <f>IF((AND(N10&gt;Defaults!B$12,(N10+O10)&gt;Defaults!B$13, P10 &gt; Defaults!B$12, (P10+Q10) &gt; Defaults!B$13)),1,20)</f>
        <v>1</v>
      </c>
      <c r="L10" s="1">
        <f t="shared" si="1"/>
        <v>1</v>
      </c>
      <c r="M10" s="1" t="b">
        <f t="shared" si="2"/>
        <v>1</v>
      </c>
      <c r="N10" s="42">
        <f t="shared" si="3"/>
        <v>29</v>
      </c>
      <c r="O10" s="42">
        <f>(D$68*L68)-E10</f>
        <v>17</v>
      </c>
      <c r="P10" s="42">
        <f t="shared" si="4"/>
        <v>53</v>
      </c>
      <c r="Q10" s="42">
        <f>(C$68*L68)-C10</f>
        <v>76</v>
      </c>
      <c r="R10" s="42">
        <f t="shared" si="5"/>
        <v>175</v>
      </c>
      <c r="S10" s="30">
        <f t="shared" si="6"/>
        <v>297116575</v>
      </c>
      <c r="T10" s="30">
        <f t="shared" si="7"/>
        <v>45252684</v>
      </c>
      <c r="U10" s="31">
        <f t="shared" si="8"/>
        <v>6.565722709397745</v>
      </c>
    </row>
    <row r="11" spans="2:21" ht="18" customHeight="1">
      <c r="B11" s="32" t="str">
        <f>'Data Entry'!A11</f>
        <v>6. Cases Petitioned (Charge Filed)</v>
      </c>
      <c r="C11" s="33">
        <f>'Data Entry'!C11</f>
        <v>73</v>
      </c>
      <c r="D11" s="34">
        <f>IF(((AND(C68&gt;0,C11&gt;0))),(C11/(C68)),0)</f>
        <v>56.589147286821706</v>
      </c>
      <c r="E11" s="33">
        <f>'Data Entry'!J11</f>
        <v>30</v>
      </c>
      <c r="F11" s="34">
        <f>IF(((AND($E$11&gt;0,$D$68&gt;0))),($E$11/($D$68)),0)</f>
        <v>65.217391304347828</v>
      </c>
      <c r="G11" s="39">
        <f t="shared" si="0"/>
        <v>1.1524717093508041</v>
      </c>
      <c r="H11" s="40"/>
      <c r="I11" s="41"/>
      <c r="J11" s="40">
        <f>IF((ABS($U11)&gt;Defaults!D$7),1,2)</f>
        <v>2</v>
      </c>
      <c r="K11" s="39">
        <f>IF((AND(N11&gt;Defaults!B$12,(N11+O11)&gt;Defaults!B$13, P11 &gt; Defaults!B$12, (P11+Q11) &gt; Defaults!B$13)),1,20)</f>
        <v>1</v>
      </c>
      <c r="L11" s="1">
        <f t="shared" si="1"/>
        <v>2</v>
      </c>
      <c r="M11" s="1" t="b">
        <f t="shared" si="2"/>
        <v>1</v>
      </c>
      <c r="N11" s="42">
        <f t="shared" si="3"/>
        <v>30</v>
      </c>
      <c r="O11" s="42">
        <f>(D$68*L68)-E11</f>
        <v>16</v>
      </c>
      <c r="P11" s="42">
        <f t="shared" si="4"/>
        <v>73</v>
      </c>
      <c r="Q11" s="42">
        <f>(C$68*L68)-C11</f>
        <v>56</v>
      </c>
      <c r="R11" s="42">
        <f t="shared" si="5"/>
        <v>175</v>
      </c>
      <c r="S11" s="30">
        <f t="shared" si="6"/>
        <v>45875200</v>
      </c>
      <c r="T11" s="30">
        <f t="shared" si="7"/>
        <v>44006544</v>
      </c>
      <c r="U11" s="31">
        <f t="shared" si="8"/>
        <v>1.0424631391185819</v>
      </c>
    </row>
    <row r="12" spans="2:21" ht="18" customHeight="1">
      <c r="B12" s="32" t="str">
        <f>'Data Entry'!A12</f>
        <v>7. Cases Resulting in Delinquent Findings</v>
      </c>
      <c r="C12" s="33">
        <f>'Data Entry'!C12</f>
        <v>34</v>
      </c>
      <c r="D12" s="34">
        <f>IF(((AND(C69&gt;0,C12&gt;0))),(C12/(C69)),0)</f>
        <v>46.575342465753423</v>
      </c>
      <c r="E12" s="33">
        <f>'Data Entry'!J12</f>
        <v>22</v>
      </c>
      <c r="F12" s="34">
        <f>IF(((AND($D$69&gt;0,$E$12&gt;0))),(E12/(D69)),0)</f>
        <v>73.333333333333343</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22</v>
      </c>
      <c r="O12" s="42">
        <f>(D69*L69)-E12</f>
        <v>8</v>
      </c>
      <c r="P12" s="42">
        <f t="shared" si="4"/>
        <v>34</v>
      </c>
      <c r="Q12" s="42">
        <f>(C69*L69)-C12</f>
        <v>39</v>
      </c>
      <c r="R12" s="42">
        <f t="shared" si="5"/>
        <v>103</v>
      </c>
      <c r="S12" s="30">
        <f t="shared" si="6"/>
        <v>35369788</v>
      </c>
      <c r="T12" s="30">
        <f t="shared" si="7"/>
        <v>5764080</v>
      </c>
      <c r="U12" s="31">
        <f t="shared" si="8"/>
        <v>6.1362416899140886</v>
      </c>
    </row>
    <row r="13" spans="2:21" ht="18" customHeight="1">
      <c r="B13" s="32" t="str">
        <f>'Data Entry'!A13</f>
        <v>8. Cases Resulting in Probation Placement</v>
      </c>
      <c r="C13" s="33">
        <f>'Data Entry'!C13</f>
        <v>83</v>
      </c>
      <c r="D13" s="34">
        <f>IF(((AND(C70&gt;0,C13&gt;0))),(C13/(C70)),0)</f>
        <v>244.11764705882351</v>
      </c>
      <c r="E13" s="33">
        <f>'Data Entry'!J13</f>
        <v>31</v>
      </c>
      <c r="F13" s="34">
        <f>IF(((AND($D$70&gt;0,$E$13&gt;0))),($E$13/($D$70)),0)</f>
        <v>140.90909090909091</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31</v>
      </c>
      <c r="O13" s="42">
        <f>(D70*L70)-E13</f>
        <v>-9</v>
      </c>
      <c r="P13" s="42">
        <f t="shared" si="4"/>
        <v>83</v>
      </c>
      <c r="Q13" s="42">
        <f>(C70*L70)-C13</f>
        <v>-49</v>
      </c>
      <c r="R13" s="42">
        <f t="shared" si="5"/>
        <v>56</v>
      </c>
      <c r="S13" s="30">
        <f t="shared" si="6"/>
        <v>33375104</v>
      </c>
      <c r="T13" s="30">
        <f t="shared" si="7"/>
        <v>-4945776</v>
      </c>
      <c r="U13" s="31">
        <f t="shared" si="8"/>
        <v>-6.7482037196993963</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Entry'!J14</f>
        <v>23</v>
      </c>
      <c r="F14" s="34">
        <f>IF(((AND($D$70&gt;0,$E$14&gt;0))), (($E$14/($D$70))),0)</f>
        <v>104.54545454545455</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23</v>
      </c>
      <c r="O14" s="42">
        <f>(D70*L70)-E14</f>
        <v>-1</v>
      </c>
      <c r="P14" s="42">
        <f t="shared" si="4"/>
        <v>16</v>
      </c>
      <c r="Q14" s="42">
        <f>(C70*L70)-C14</f>
        <v>18</v>
      </c>
      <c r="R14" s="42">
        <f t="shared" si="5"/>
        <v>56</v>
      </c>
      <c r="S14" s="30">
        <f t="shared" si="6"/>
        <v>10354400</v>
      </c>
      <c r="T14" s="30">
        <f t="shared" si="7"/>
        <v>495924</v>
      </c>
      <c r="U14" s="31">
        <f t="shared" si="8"/>
        <v>20.879005654092158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30</v>
      </c>
      <c r="P15" s="42">
        <f t="shared" si="4"/>
        <v>0</v>
      </c>
      <c r="Q15" s="42">
        <f>(C69*L69)-C15</f>
        <v>73</v>
      </c>
      <c r="R15" s="42">
        <f t="shared" si="5"/>
        <v>103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1.6</v>
      </c>
      <c r="E42" s="56">
        <f>MAX(C42:D42)</f>
        <v>8.2059999999999995</v>
      </c>
      <c r="G42" s="1" t="str">
        <f>B42</f>
        <v>per 1000 youth</v>
      </c>
      <c r="L42" s="57">
        <v>1000</v>
      </c>
      <c r="M42" s="57"/>
      <c r="R42" s="49"/>
    </row>
    <row r="43" spans="2:18" ht="15" hidden="1" customHeight="1">
      <c r="B43" s="49" t="s">
        <v>87</v>
      </c>
      <c r="C43" s="56">
        <f>C7/100</f>
        <v>0.74</v>
      </c>
      <c r="D43" s="56">
        <f>E7/100</f>
        <v>0.31</v>
      </c>
      <c r="E43" s="56">
        <f>MAX(C43:D43,0)</f>
        <v>0.74</v>
      </c>
      <c r="G43" s="1" t="str">
        <f>B43</f>
        <v>per 100 arrests</v>
      </c>
      <c r="L43" s="57">
        <v>100</v>
      </c>
      <c r="M43" s="57"/>
      <c r="R43" s="49"/>
    </row>
    <row r="44" spans="2:18" ht="15" hidden="1" customHeight="1">
      <c r="B44" s="49" t="s">
        <v>88</v>
      </c>
      <c r="C44" s="56">
        <f>C8/100</f>
        <v>1.29</v>
      </c>
      <c r="D44" s="56">
        <f>E8/100</f>
        <v>0.46</v>
      </c>
      <c r="E44" s="56">
        <f>MAX(C44:D44,0)</f>
        <v>1.29</v>
      </c>
      <c r="G44" s="1" t="str">
        <f>B44</f>
        <v>per 100 referrals</v>
      </c>
      <c r="L44" s="57">
        <v>100</v>
      </c>
      <c r="M44" s="57"/>
      <c r="R44" s="49"/>
    </row>
    <row r="45" spans="2:18" ht="15" hidden="1" customHeight="1">
      <c r="B45" s="49" t="s">
        <v>89</v>
      </c>
      <c r="C45" s="49">
        <f>C11/100</f>
        <v>0.73</v>
      </c>
      <c r="D45" s="49">
        <f>E11/100</f>
        <v>0.3</v>
      </c>
      <c r="E45" s="56">
        <f>MAX(C45:D45,0)</f>
        <v>0.73</v>
      </c>
      <c r="G45" s="1" t="str">
        <f>B45</f>
        <v>per 100 youth petitioned</v>
      </c>
      <c r="L45" s="57">
        <v>100</v>
      </c>
      <c r="M45" s="57"/>
      <c r="R45" s="49"/>
    </row>
    <row r="46" spans="2:18" ht="15" hidden="1" customHeight="1">
      <c r="B46" s="49" t="s">
        <v>90</v>
      </c>
      <c r="C46" s="49">
        <f>C12/100</f>
        <v>0.34</v>
      </c>
      <c r="D46" s="49">
        <f>E12/100</f>
        <v>0.22</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1.6</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0.31</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0.46</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0.3</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0.22</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1.6</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0.31</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0.46</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0.3</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0.22</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1.6</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0.31</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0.46</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0.3</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0.22</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1.6</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0.31</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0.46</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0.3</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0.22</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Bay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7.3927927927927923</v>
      </c>
      <c r="D7" s="72" t="str">
        <f>Hispanic!G7</f>
        <v>**</v>
      </c>
      <c r="E7" s="72" t="str">
        <f>Asian!G7</f>
        <v>*</v>
      </c>
      <c r="F7" s="72" t="str">
        <f>Hawaiian!G7</f>
        <v>*</v>
      </c>
      <c r="G7" s="72" t="str">
        <f>'Am Indian'!G7</f>
        <v>*</v>
      </c>
      <c r="H7" s="72" t="str">
        <f>'Other - Mixed'!G7</f>
        <v>*</v>
      </c>
      <c r="I7" s="73">
        <f>'All Minorities'!G7</f>
        <v>2.1485304054054053</v>
      </c>
      <c r="L7" s="1">
        <f>'Black or African-American'!L7</f>
        <v>1</v>
      </c>
      <c r="M7" s="1">
        <f>Hispanic!L7</f>
        <v>20</v>
      </c>
      <c r="N7" s="1">
        <f>Asian!L7</f>
        <v>139</v>
      </c>
      <c r="O7" s="1" t="e">
        <f>Hawaiian!L7</f>
        <v>#VALUE!</v>
      </c>
      <c r="P7" s="1">
        <f>'Am Indian'!L7</f>
        <v>139</v>
      </c>
      <c r="Q7" s="1" t="e">
        <f>'Other - Mixed'!L7</f>
        <v>#VALUE!</v>
      </c>
      <c r="R7" s="1">
        <f>'All Minorities'!L7</f>
        <v>1</v>
      </c>
    </row>
    <row r="8" spans="2:18" ht="15" customHeight="1">
      <c r="B8" s="71" t="s">
        <v>9</v>
      </c>
      <c r="C8" s="72">
        <f>'Black or African-American'!$G8</f>
        <v>0.86046511627906974</v>
      </c>
      <c r="D8" s="72" t="str">
        <f>Hispanic!G8</f>
        <v>**</v>
      </c>
      <c r="E8" s="72" t="str">
        <f>Asian!G8</f>
        <v>*</v>
      </c>
      <c r="F8" s="72" t="str">
        <f>Hawaiian!G8</f>
        <v>*</v>
      </c>
      <c r="G8" s="72" t="str">
        <f>'Am Indian'!G8</f>
        <v>*</v>
      </c>
      <c r="H8" s="72" t="str">
        <f>'Other - Mixed'!G8</f>
        <v>*</v>
      </c>
      <c r="I8" s="73">
        <f>'All Minorities'!G8</f>
        <v>0.85121280320080017</v>
      </c>
      <c r="L8" s="1">
        <f>'Black or African-American'!L8</f>
        <v>2</v>
      </c>
      <c r="M8" s="1">
        <f>Hispanic!L8</f>
        <v>40</v>
      </c>
      <c r="N8" s="1">
        <f>Asian!L8</f>
        <v>139</v>
      </c>
      <c r="O8" s="1">
        <f>Hawaiian!L8</f>
        <v>139</v>
      </c>
      <c r="P8" s="1">
        <f>'Am Indian'!L8</f>
        <v>139</v>
      </c>
      <c r="Q8" s="1">
        <f>'Other - Mixed'!L8</f>
        <v>119</v>
      </c>
      <c r="R8" s="1">
        <f>'All Minorities'!L8</f>
        <v>2</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t="e">
        <f>Hispanic!L9</f>
        <v>#VALUE!</v>
      </c>
      <c r="N9" s="1" t="e">
        <f>Asian!L9</f>
        <v>#VALUE!</v>
      </c>
      <c r="O9" s="1" t="e">
        <f>Hawaiian!L9</f>
        <v>#VALUE!</v>
      </c>
      <c r="P9" s="1" t="e">
        <f>'Am Indian'!L9</f>
        <v>#VALUE!</v>
      </c>
      <c r="Q9" s="1">
        <f>'Other - Mixed'!L9</f>
        <v>139</v>
      </c>
      <c r="R9" s="1">
        <f>'All Minorities'!L9</f>
        <v>20</v>
      </c>
    </row>
    <row r="10" spans="2:18" ht="15" customHeight="1">
      <c r="B10" s="71" t="s">
        <v>11</v>
      </c>
      <c r="C10" s="72">
        <f>'Black or African-American'!$G10</f>
        <v>1.5685534591194967</v>
      </c>
      <c r="D10" s="72" t="str">
        <f>Hispanic!G10</f>
        <v>--</v>
      </c>
      <c r="E10" s="72" t="str">
        <f>Asian!G10</f>
        <v>*</v>
      </c>
      <c r="F10" s="72" t="str">
        <f>Hawaiian!G10</f>
        <v>*</v>
      </c>
      <c r="G10" s="72" t="str">
        <f>'Am Indian'!G10</f>
        <v>*</v>
      </c>
      <c r="H10" s="72" t="str">
        <f>'Other - Mixed'!G10</f>
        <v>*</v>
      </c>
      <c r="I10" s="73">
        <f>'All Minorities'!G10</f>
        <v>1.5344544708777685</v>
      </c>
      <c r="L10" s="1">
        <f>'Black or African-American'!L10</f>
        <v>1</v>
      </c>
      <c r="M10" s="1" t="e">
        <f>Hispanic!L10</f>
        <v>#VALUE!</v>
      </c>
      <c r="N10" s="1" t="e">
        <f>Asian!L10</f>
        <v>#VALUE!</v>
      </c>
      <c r="O10" s="1" t="e">
        <f>Hawaiian!L10</f>
        <v>#VALUE!</v>
      </c>
      <c r="P10" s="1" t="e">
        <f>'Am Indian'!L10</f>
        <v>#VALUE!</v>
      </c>
      <c r="Q10" s="1">
        <f>'Other - Mixed'!L10</f>
        <v>139</v>
      </c>
      <c r="R10" s="1">
        <f>'All Minorities'!L10</f>
        <v>1</v>
      </c>
    </row>
    <row r="11" spans="2:18" ht="15" customHeight="1">
      <c r="B11" s="71" t="s">
        <v>95</v>
      </c>
      <c r="C11" s="72">
        <f>'Black or African-American'!$G11</f>
        <v>1.1388127853881278</v>
      </c>
      <c r="D11" s="72" t="str">
        <f>Hispanic!G11</f>
        <v>--</v>
      </c>
      <c r="E11" s="72" t="str">
        <f>Asian!G11</f>
        <v>*</v>
      </c>
      <c r="F11" s="72" t="str">
        <f>Hawaiian!G11</f>
        <v>*</v>
      </c>
      <c r="G11" s="72" t="str">
        <f>'Am Indian'!G11</f>
        <v>*</v>
      </c>
      <c r="H11" s="72" t="str">
        <f>'Other - Mixed'!G11</f>
        <v>*</v>
      </c>
      <c r="I11" s="73">
        <f>'All Minorities'!G11</f>
        <v>1.1524717093508041</v>
      </c>
      <c r="L11" s="1">
        <f>'Black or African-American'!L11</f>
        <v>2</v>
      </c>
      <c r="M11" s="1" t="e">
        <f>Hispanic!L11</f>
        <v>#VALUE!</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t="e">
        <f>Hispanic!L12</f>
        <v>#VALUE!</v>
      </c>
      <c r="N12" s="1" t="e">
        <f>Asian!L12</f>
        <v>#VALUE!</v>
      </c>
      <c r="O12" s="1" t="e">
        <f>Hawaiian!L12</f>
        <v>#VALUE!</v>
      </c>
      <c r="P12" s="1" t="e">
        <f>'Am Indian'!L12</f>
        <v>#VALUE!</v>
      </c>
      <c r="Q12" s="1">
        <f>'Other - Mixed'!L12</f>
        <v>139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f>'Other - Mixed'!L13</f>
        <v>139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9806</v>
      </c>
      <c r="D3" s="57">
        <f>'Data Entry'!C6</f>
        <v>8206</v>
      </c>
      <c r="E3" s="57">
        <f>'Data Entry'!D6</f>
        <v>450</v>
      </c>
      <c r="F3" s="57">
        <f>'Data Entry'!E6</f>
        <v>1022</v>
      </c>
      <c r="G3" s="57">
        <f>'Data Entry'!F6</f>
        <v>69</v>
      </c>
      <c r="H3" s="57">
        <f>'Data Entry'!G6</f>
        <v>0</v>
      </c>
      <c r="I3" s="57">
        <f>'Data Entry'!H6</f>
        <v>59</v>
      </c>
      <c r="J3" s="57">
        <f>'Data Entry'!I6</f>
        <v>0</v>
      </c>
      <c r="K3" s="57">
        <f>'Data Entry'!J6</f>
        <v>1600</v>
      </c>
    </row>
    <row r="4" spans="2:11" ht="15" customHeight="1">
      <c r="B4" s="16" t="s">
        <v>8</v>
      </c>
      <c r="C4" s="1">
        <f>IF((C$3&gt;0),(1000*('Data Entry'!B7/'Data Entry'!B$6)), 0)</f>
        <v>10.911686722414849</v>
      </c>
      <c r="D4" s="1">
        <f>IF((D$3&gt;0),(1000*('Data Entry'!C7/'Data Entry'!C$6)), 0)</f>
        <v>9.0177918596149169</v>
      </c>
      <c r="E4" s="1">
        <f>IF((E$3&gt;0),(1000*('Data Entry'!D7/'Data Entry'!D$6)), 0)</f>
        <v>66.666666666666671</v>
      </c>
      <c r="F4" s="1">
        <f>IF((F$3&gt;0),(1000*('Data Entry'!E7/'Data Entry'!E$6)), 0)</f>
        <v>0.97847358121330719</v>
      </c>
      <c r="G4" s="1">
        <f>IF((G$3&gt;0),(1000*('Data Entry'!F7/'Data Entry'!F$6)), 0)</f>
        <v>0</v>
      </c>
      <c r="H4" s="1">
        <f>IF((H$3&gt;0),(1000*('Data Entry'!G7/'Data Entry'!G$6)), 0)</f>
        <v>0</v>
      </c>
      <c r="I4" s="1">
        <f>IF((I$3&gt;0),(1000*('Data Entry'!H7/'Data Entry'!H$6)), 0)</f>
        <v>0</v>
      </c>
      <c r="J4" s="1">
        <f>IF((J$3&gt;0),(1000*('Data Entry'!I7/'Data Entry'!I$6)), 0)</f>
        <v>0</v>
      </c>
      <c r="K4" s="1">
        <f>IF((K$3&gt;0),(1000*('Data Entry'!J7/'Data Entry'!J$6)), 0)</f>
        <v>19.375</v>
      </c>
    </row>
    <row r="5" spans="2:11" ht="15" customHeight="1">
      <c r="B5" s="16" t="s">
        <v>9</v>
      </c>
      <c r="C5" s="1">
        <f>IF((C$3&gt;0),(1000*('Data Entry'!B8/'Data Entry'!B$6)), 0)</f>
        <v>17.846216602080361</v>
      </c>
      <c r="D5" s="1">
        <f>IF((D$3&gt;0),(1000*('Data Entry'!C8/'Data Entry'!C$6)), 0)</f>
        <v>15.720204728247623</v>
      </c>
      <c r="E5" s="1">
        <f>IF((E$3&gt;0),(1000*('Data Entry'!D8/'Data Entry'!D$6)), 0)</f>
        <v>100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28.75</v>
      </c>
    </row>
    <row r="6" spans="2:11" ht="15" customHeight="1">
      <c r="B6" s="16" t="s">
        <v>10</v>
      </c>
      <c r="C6" s="1">
        <f>IF((C$3&gt;0),(1000*('Data Entry'!B9/'Data Entry'!B$6)), 0)</f>
        <v>2.3455027534162758</v>
      </c>
      <c r="D6" s="1">
        <f>IF((D$3&gt;0),(1000*('Data Entry'!C9/'Data Entry'!C$6)), 0)</f>
        <v>2.5591030952961247</v>
      </c>
      <c r="E6" s="1">
        <f>IF((E$3&gt;0),(1000*('Data Entry'!D9/'Data Entry'!D$6)), 0)</f>
        <v>4.4444444444444446</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1.25</v>
      </c>
    </row>
    <row r="7" spans="2:11" ht="15" customHeight="1">
      <c r="B7" s="16" t="s">
        <v>11</v>
      </c>
      <c r="C7" s="1">
        <f>IF((C$3&gt;0),(1000*('Data Entry'!B10/'Data Entry'!B$6)), 0)</f>
        <v>8.3622272078319391</v>
      </c>
      <c r="D7" s="1">
        <f>IF((D$3&gt;0),(1000*('Data Entry'!C10/'Data Entry'!C$6)), 0)</f>
        <v>6.4586887643187909</v>
      </c>
      <c r="E7" s="1">
        <f>IF((E$3&gt;0),(1000*('Data Entry'!D10/'Data Entry'!D$6)), 0)</f>
        <v>64.444444444444443</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18.125</v>
      </c>
    </row>
    <row r="8" spans="2:11" ht="15" customHeight="1">
      <c r="B8" s="16" t="s">
        <v>95</v>
      </c>
      <c r="C8" s="1">
        <f>IF((C$3&gt;0),(1000*('Data Entry'!B11/'Data Entry'!B$6)), 0)</f>
        <v>10.503773200081582</v>
      </c>
      <c r="D8" s="1">
        <f>IF((D$3&gt;0),(1000*('Data Entry'!C11/'Data Entry'!C$6)), 0)</f>
        <v>8.8959298074579571</v>
      </c>
      <c r="E8" s="1">
        <f>IF((E$3&gt;0),(1000*('Data Entry'!D11/'Data Entry'!D$6)), 0)</f>
        <v>64.444444444444443</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18.75</v>
      </c>
    </row>
    <row r="9" spans="2:11" ht="15" customHeight="1">
      <c r="B9" s="16" t="s">
        <v>13</v>
      </c>
      <c r="C9" s="1">
        <f>IF((C$3&gt;0),(1000*('Data Entry'!B12/'Data Entry'!B$6)), 0)</f>
        <v>5.7107893126657148</v>
      </c>
      <c r="D9" s="1">
        <f>IF((D$3&gt;0),(1000*('Data Entry'!C12/'Data Entry'!C$6)), 0)</f>
        <v>4.1433097733365827</v>
      </c>
      <c r="E9" s="1">
        <f>IF((E$3&gt;0),(1000*('Data Entry'!D12/'Data Entry'!D$6)), 0)</f>
        <v>46.666666666666671</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13.75</v>
      </c>
    </row>
    <row r="10" spans="2:11" ht="15" customHeight="1">
      <c r="B10" s="16" t="s">
        <v>14</v>
      </c>
      <c r="C10" s="1">
        <f>IF((C$3&gt;0),(1000*('Data Entry'!B13/'Data Entry'!B$6)), 0)</f>
        <v>11.625535386498061</v>
      </c>
      <c r="D10" s="1">
        <f>IF((D$3&gt;0),(1000*('Data Entry'!C13/'Data Entry'!C$6)), 0)</f>
        <v>10.114550329027541</v>
      </c>
      <c r="E10" s="1">
        <f>IF((E$3&gt;0),(1000*('Data Entry'!D13/'Data Entry'!D$6)), 0)</f>
        <v>66.666666666666671</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19.375</v>
      </c>
    </row>
    <row r="11" spans="2:11" ht="25.5" customHeight="1">
      <c r="B11" s="16" t="s">
        <v>15</v>
      </c>
      <c r="C11" s="1">
        <f>IF((C$3&gt;0),(1000*('Data Entry'!B14/'Data Entry'!B$6)), 0)</f>
        <v>3.9771568427493373</v>
      </c>
      <c r="D11" s="1">
        <f>IF((D$3&gt;0),(1000*('Data Entry'!C14/'Data Entry'!C$6)), 0)</f>
        <v>1.9497928345113331</v>
      </c>
      <c r="E11" s="1">
        <f>IF((E$3&gt;0),(1000*('Data Entry'!D14/'Data Entry'!D$6)), 0)</f>
        <v>46.666666666666671</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14.375</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Bay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7.3927927927927923</v>
      </c>
      <c r="E19" s="72">
        <f t="shared" si="1"/>
        <v>0.10850478658697835</v>
      </c>
      <c r="F19" s="72" t="str">
        <f t="shared" si="1"/>
        <v>--</v>
      </c>
      <c r="G19" s="72" t="str">
        <f t="shared" si="1"/>
        <v>--</v>
      </c>
      <c r="H19" s="72" t="str">
        <f t="shared" si="1"/>
        <v>--</v>
      </c>
      <c r="I19" s="72" t="str">
        <f t="shared" si="1"/>
        <v>--</v>
      </c>
      <c r="J19" s="73">
        <f t="shared" si="1"/>
        <v>2.1485304054054053</v>
      </c>
    </row>
    <row r="20" spans="2:10" ht="15" customHeight="1">
      <c r="B20" s="71" t="s">
        <v>9</v>
      </c>
      <c r="C20" s="72">
        <f t="shared" ref="C20:J27" si="2">IF(AND(($D5&gt;0),(D5&gt;0)), (D5/$D5),"--")</f>
        <v>1</v>
      </c>
      <c r="D20" s="72">
        <f t="shared" si="2"/>
        <v>6.3612403100775197</v>
      </c>
      <c r="E20" s="72" t="str">
        <f t="shared" si="2"/>
        <v>--</v>
      </c>
      <c r="F20" s="72" t="str">
        <f t="shared" si="2"/>
        <v>--</v>
      </c>
      <c r="G20" s="72" t="str">
        <f t="shared" si="2"/>
        <v>--</v>
      </c>
      <c r="H20" s="72" t="str">
        <f t="shared" si="2"/>
        <v>--</v>
      </c>
      <c r="I20" s="72" t="str">
        <f t="shared" si="2"/>
        <v>--</v>
      </c>
      <c r="J20" s="73">
        <f t="shared" si="2"/>
        <v>1.828856589147287</v>
      </c>
    </row>
    <row r="21" spans="2:10" ht="15" customHeight="1">
      <c r="B21" s="71" t="s">
        <v>10</v>
      </c>
      <c r="C21" s="72">
        <f t="shared" si="2"/>
        <v>1</v>
      </c>
      <c r="D21" s="72">
        <f t="shared" si="2"/>
        <v>1.7367195767195769</v>
      </c>
      <c r="E21" s="72" t="str">
        <f t="shared" si="2"/>
        <v>--</v>
      </c>
      <c r="F21" s="72" t="str">
        <f t="shared" si="2"/>
        <v>--</v>
      </c>
      <c r="G21" s="72" t="str">
        <f t="shared" si="2"/>
        <v>--</v>
      </c>
      <c r="H21" s="72" t="str">
        <f t="shared" si="2"/>
        <v>--</v>
      </c>
      <c r="I21" s="72" t="str">
        <f t="shared" si="2"/>
        <v>--</v>
      </c>
      <c r="J21" s="73">
        <f t="shared" si="2"/>
        <v>0.48845238095238097</v>
      </c>
    </row>
    <row r="22" spans="2:10" ht="15" customHeight="1">
      <c r="B22" s="71" t="s">
        <v>11</v>
      </c>
      <c r="C22" s="72">
        <f t="shared" si="2"/>
        <v>1</v>
      </c>
      <c r="D22" s="72">
        <f t="shared" si="2"/>
        <v>9.9779454926624744</v>
      </c>
      <c r="E22" s="72" t="str">
        <f t="shared" si="2"/>
        <v>--</v>
      </c>
      <c r="F22" s="72" t="str">
        <f t="shared" si="2"/>
        <v>--</v>
      </c>
      <c r="G22" s="72" t="str">
        <f t="shared" si="2"/>
        <v>--</v>
      </c>
      <c r="H22" s="72" t="str">
        <f t="shared" si="2"/>
        <v>--</v>
      </c>
      <c r="I22" s="72" t="str">
        <f t="shared" si="2"/>
        <v>--</v>
      </c>
      <c r="J22" s="73">
        <f t="shared" si="2"/>
        <v>2.8062971698113208</v>
      </c>
    </row>
    <row r="23" spans="2:10" ht="15" customHeight="1">
      <c r="B23" s="71" t="s">
        <v>95</v>
      </c>
      <c r="C23" s="72">
        <f t="shared" si="2"/>
        <v>1</v>
      </c>
      <c r="D23" s="72">
        <f t="shared" si="2"/>
        <v>7.2442617960426183</v>
      </c>
      <c r="E23" s="72" t="str">
        <f t="shared" si="2"/>
        <v>--</v>
      </c>
      <c r="F23" s="72" t="str">
        <f t="shared" si="2"/>
        <v>--</v>
      </c>
      <c r="G23" s="72" t="str">
        <f t="shared" si="2"/>
        <v>--</v>
      </c>
      <c r="H23" s="72" t="str">
        <f t="shared" si="2"/>
        <v>--</v>
      </c>
      <c r="I23" s="72" t="str">
        <f t="shared" si="2"/>
        <v>--</v>
      </c>
      <c r="J23" s="73">
        <f t="shared" si="2"/>
        <v>2.1077054794520551</v>
      </c>
    </row>
    <row r="24" spans="2:10" ht="15" customHeight="1">
      <c r="B24" s="71" t="s">
        <v>13</v>
      </c>
      <c r="C24" s="72">
        <f t="shared" si="2"/>
        <v>1</v>
      </c>
      <c r="D24" s="72">
        <f t="shared" si="2"/>
        <v>11.263137254901963</v>
      </c>
      <c r="E24" s="72" t="str">
        <f t="shared" si="2"/>
        <v>--</v>
      </c>
      <c r="F24" s="72" t="str">
        <f t="shared" si="2"/>
        <v>--</v>
      </c>
      <c r="G24" s="72" t="str">
        <f t="shared" si="2"/>
        <v>--</v>
      </c>
      <c r="H24" s="72" t="str">
        <f t="shared" si="2"/>
        <v>--</v>
      </c>
      <c r="I24" s="72" t="str">
        <f t="shared" si="2"/>
        <v>--</v>
      </c>
      <c r="J24" s="73">
        <f t="shared" si="2"/>
        <v>3.3186029411764708</v>
      </c>
    </row>
    <row r="25" spans="2:10" ht="15" customHeight="1">
      <c r="B25" s="71" t="s">
        <v>14</v>
      </c>
      <c r="C25" s="72">
        <f t="shared" si="2"/>
        <v>1</v>
      </c>
      <c r="D25" s="72">
        <f t="shared" si="2"/>
        <v>6.5911646586345389</v>
      </c>
      <c r="E25" s="72" t="str">
        <f t="shared" si="2"/>
        <v>--</v>
      </c>
      <c r="F25" s="72" t="str">
        <f t="shared" si="2"/>
        <v>--</v>
      </c>
      <c r="G25" s="72" t="str">
        <f t="shared" si="2"/>
        <v>--</v>
      </c>
      <c r="H25" s="72" t="str">
        <f t="shared" si="2"/>
        <v>--</v>
      </c>
      <c r="I25" s="72" t="str">
        <f t="shared" si="2"/>
        <v>--</v>
      </c>
      <c r="J25" s="73">
        <f t="shared" si="2"/>
        <v>1.9155572289156626</v>
      </c>
    </row>
    <row r="26" spans="2:10" ht="25.5" customHeight="1">
      <c r="B26" s="71" t="s">
        <v>15</v>
      </c>
      <c r="C26" s="72">
        <f t="shared" si="2"/>
        <v>1</v>
      </c>
      <c r="D26" s="72">
        <f t="shared" si="2"/>
        <v>23.93416666666667</v>
      </c>
      <c r="E26" s="72" t="str">
        <f t="shared" si="2"/>
        <v>--</v>
      </c>
      <c r="F26" s="72" t="str">
        <f t="shared" si="2"/>
        <v>--</v>
      </c>
      <c r="G26" s="72" t="str">
        <f t="shared" si="2"/>
        <v>--</v>
      </c>
      <c r="H26" s="72" t="str">
        <f t="shared" si="2"/>
        <v>--</v>
      </c>
      <c r="I26" s="72" t="str">
        <f t="shared" si="2"/>
        <v>--</v>
      </c>
      <c r="J26" s="73">
        <f t="shared" si="2"/>
        <v>7.3725781250000004</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Bay</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8206</v>
      </c>
      <c r="D7" s="104">
        <f>'Data Entry'!D6</f>
        <v>450</v>
      </c>
      <c r="E7" s="105"/>
      <c r="F7" s="106">
        <f>'Data Entry'!E6</f>
        <v>1022</v>
      </c>
      <c r="G7" s="105"/>
      <c r="H7" s="106">
        <f>'Data Entry'!F6</f>
        <v>69</v>
      </c>
      <c r="I7" s="105"/>
      <c r="J7" s="106">
        <f>'Data Entry'!G6</f>
        <v>0</v>
      </c>
      <c r="K7" s="105"/>
      <c r="L7" s="106">
        <f>'Data Entry'!H6</f>
        <v>59</v>
      </c>
      <c r="M7" s="105"/>
      <c r="N7" s="106">
        <f>'Data Entry'!I6</f>
        <v>0</v>
      </c>
      <c r="O7" s="105"/>
      <c r="P7" s="106">
        <f>'Data Entry'!J6</f>
        <v>1600</v>
      </c>
      <c r="Q7" s="107"/>
    </row>
    <row r="8" spans="2:26" s="1" customFormat="1" ht="15" customHeight="1">
      <c r="B8" s="142" t="s">
        <v>8</v>
      </c>
      <c r="C8" s="103">
        <f>'Data Entry'!C7</f>
        <v>74</v>
      </c>
      <c r="D8" s="104">
        <f>'Data Entry'!D7</f>
        <v>30</v>
      </c>
      <c r="E8" s="105">
        <f>'Black or African-American'!$G7</f>
        <v>7.3927927927927923</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31</v>
      </c>
      <c r="Q8" s="107">
        <f>'All Minorities'!G7</f>
        <v>2.1485304054054053</v>
      </c>
      <c r="R8"/>
      <c r="T8" s="1">
        <f>'Black or African-American'!L7</f>
        <v>1</v>
      </c>
      <c r="U8" s="1">
        <f>Hispanic!L7</f>
        <v>20</v>
      </c>
      <c r="V8" s="1">
        <f>Asian!L7</f>
        <v>139</v>
      </c>
      <c r="W8" s="1" t="e">
        <f>Hawaiian!L7</f>
        <v>#VALUE!</v>
      </c>
      <c r="X8" s="1">
        <f>'Am Indian'!L7</f>
        <v>139</v>
      </c>
      <c r="Y8" s="1" t="e">
        <f>'Other - Mixed'!L7</f>
        <v>#VALUE!</v>
      </c>
      <c r="Z8" s="1">
        <f>'All Minorities'!L7</f>
        <v>1</v>
      </c>
    </row>
    <row r="9" spans="2:26" s="1" customFormat="1" ht="15" customHeight="1">
      <c r="B9" s="142" t="s">
        <v>134</v>
      </c>
      <c r="C9" s="103">
        <f>'Data Entry'!C8</f>
        <v>129</v>
      </c>
      <c r="D9" s="108">
        <f>'Data Entry'!D8</f>
        <v>45</v>
      </c>
      <c r="E9" s="109">
        <f>'Black or African-American'!$G8</f>
        <v>0.86046511627906974</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46</v>
      </c>
      <c r="Q9" s="111">
        <f>'All Minorities'!G8</f>
        <v>0.85121280320080017</v>
      </c>
      <c r="R9"/>
      <c r="T9" s="1">
        <f>'Black or African-American'!L8</f>
        <v>2</v>
      </c>
      <c r="U9" s="1">
        <f>Hispanic!L8</f>
        <v>40</v>
      </c>
      <c r="V9" s="1">
        <f>Asian!L8</f>
        <v>139</v>
      </c>
      <c r="W9" s="1">
        <f>Hawaiian!L8</f>
        <v>139</v>
      </c>
      <c r="X9" s="1">
        <f>'Am Indian'!L8</f>
        <v>139</v>
      </c>
      <c r="Y9" s="1">
        <f>'Other - Mixed'!L8</f>
        <v>119</v>
      </c>
      <c r="Z9" s="1">
        <f>'All Minorities'!L8</f>
        <v>2</v>
      </c>
    </row>
    <row r="10" spans="2:26" s="1" customFormat="1" ht="15" customHeight="1">
      <c r="B10" s="142" t="s">
        <v>10</v>
      </c>
      <c r="C10" s="103">
        <f>'Data Entry'!C9</f>
        <v>21</v>
      </c>
      <c r="D10" s="112">
        <f>'Data Entry'!D9</f>
        <v>2</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2</v>
      </c>
      <c r="Q10" s="115" t="str">
        <f>'All Minorities'!G9</f>
        <v>**</v>
      </c>
      <c r="R10"/>
      <c r="T10" s="1">
        <f>'Black or African-American'!L9</f>
        <v>20</v>
      </c>
      <c r="U10" s="1" t="e">
        <f>Hispanic!L9</f>
        <v>#VALUE!</v>
      </c>
      <c r="V10" s="1" t="e">
        <f>Asian!L9</f>
        <v>#VALUE!</v>
      </c>
      <c r="W10" s="1" t="e">
        <f>Hawaiian!L9</f>
        <v>#VALUE!</v>
      </c>
      <c r="X10" s="1" t="e">
        <f>'Am Indian'!L9</f>
        <v>#VALUE!</v>
      </c>
      <c r="Y10" s="1">
        <f>'Other - Mixed'!L9</f>
        <v>139</v>
      </c>
      <c r="Z10" s="1">
        <f>'All Minorities'!L9</f>
        <v>20</v>
      </c>
    </row>
    <row r="11" spans="2:26" s="1" customFormat="1" ht="15" customHeight="1">
      <c r="B11" s="142" t="s">
        <v>11</v>
      </c>
      <c r="C11" s="103">
        <f>'Data Entry'!C10</f>
        <v>53</v>
      </c>
      <c r="D11" s="108">
        <f>'Data Entry'!D10</f>
        <v>29</v>
      </c>
      <c r="E11" s="109">
        <f>'Black or African-American'!$G10</f>
        <v>1.5685534591194967</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29</v>
      </c>
      <c r="Q11" s="111">
        <f>'All Minorities'!G10</f>
        <v>1.5344544708777685</v>
      </c>
      <c r="R11"/>
      <c r="T11" s="1">
        <f>'Black or African-American'!L10</f>
        <v>1</v>
      </c>
      <c r="U11" s="1" t="e">
        <f>Hispanic!L10</f>
        <v>#VALUE!</v>
      </c>
      <c r="V11" s="1" t="e">
        <f>Asian!L10</f>
        <v>#VALUE!</v>
      </c>
      <c r="W11" s="1" t="e">
        <f>Hawaiian!L10</f>
        <v>#VALUE!</v>
      </c>
      <c r="X11" s="1" t="e">
        <f>'Am Indian'!L10</f>
        <v>#VALUE!</v>
      </c>
      <c r="Y11" s="1">
        <f>'Other - Mixed'!L10</f>
        <v>139</v>
      </c>
      <c r="Z11" s="1">
        <f>'All Minorities'!L10</f>
        <v>1</v>
      </c>
    </row>
    <row r="12" spans="2:26" s="1" customFormat="1" ht="15" customHeight="1">
      <c r="B12" s="142" t="s">
        <v>95</v>
      </c>
      <c r="C12" s="103">
        <f>'Data Entry'!C11</f>
        <v>73</v>
      </c>
      <c r="D12" s="112">
        <f>'Data Entry'!D11</f>
        <v>29</v>
      </c>
      <c r="E12" s="113">
        <f>'Black or African-American'!$G11</f>
        <v>1.1388127853881278</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30</v>
      </c>
      <c r="Q12" s="115">
        <f>'All Minorities'!G11</f>
        <v>1.1524717093508041</v>
      </c>
      <c r="R12"/>
      <c r="T12" s="1">
        <f>'Black or African-American'!L11</f>
        <v>2</v>
      </c>
      <c r="U12" s="1" t="e">
        <f>Hispanic!L11</f>
        <v>#VALUE!</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34</v>
      </c>
      <c r="D13" s="108">
        <f>'Data Entry'!D12</f>
        <v>21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22</v>
      </c>
      <c r="Q13" s="111" t="str">
        <f>'All Minorities'!G12</f>
        <v>**</v>
      </c>
      <c r="R13"/>
      <c r="T13" s="1">
        <f>'Black or African-American'!L12</f>
        <v>20</v>
      </c>
      <c r="U13" s="1" t="e">
        <f>Hispanic!L12</f>
        <v>#VALUE!</v>
      </c>
      <c r="V13" s="1" t="e">
        <f>Asian!L12</f>
        <v>#VALUE!</v>
      </c>
      <c r="W13" s="1" t="e">
        <f>Hawaiian!L12</f>
        <v>#VALUE!</v>
      </c>
      <c r="X13" s="1" t="e">
        <f>'Am Indian'!L12</f>
        <v>#VALUE!</v>
      </c>
      <c r="Y13" s="1">
        <f>'Other - Mixed'!L12</f>
        <v>139</v>
      </c>
      <c r="Z13" s="1">
        <f>'All Minorities'!L12</f>
        <v>20</v>
      </c>
    </row>
    <row r="14" spans="2:26" s="1" customFormat="1" ht="15" customHeight="1">
      <c r="B14" s="142" t="s">
        <v>133</v>
      </c>
      <c r="C14" s="103">
        <f>'Data Entry'!C13</f>
        <v>83</v>
      </c>
      <c r="D14" s="112">
        <f>'Data Entry'!D13</f>
        <v>30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31</v>
      </c>
      <c r="Q14" s="115" t="str">
        <f>'All Minorities'!G13</f>
        <v>**</v>
      </c>
      <c r="R14"/>
      <c r="T14" s="1">
        <f>'Black or African-American'!L13</f>
        <v>20</v>
      </c>
      <c r="U14" s="1" t="e">
        <f>Hispanic!L13</f>
        <v>#VALUE!</v>
      </c>
      <c r="V14" s="1" t="e">
        <f>Asian!L13</f>
        <v>#VALUE!</v>
      </c>
      <c r="W14" s="1" t="e">
        <f>Hawaiian!L13</f>
        <v>#VALUE!</v>
      </c>
      <c r="X14" s="1" t="e">
        <f>'Am Indian'!L13</f>
        <v>#VALUE!</v>
      </c>
      <c r="Y14" s="1">
        <f>'Other - Mixed'!L13</f>
        <v>139</v>
      </c>
      <c r="Z14" s="1">
        <f>'All Minorities'!L13</f>
        <v>20</v>
      </c>
    </row>
    <row r="15" spans="2:26" s="1" customFormat="1" ht="33">
      <c r="B15" s="144" t="s">
        <v>123</v>
      </c>
      <c r="C15" s="103">
        <f>'Data Entry'!C14</f>
        <v>16</v>
      </c>
      <c r="D15" s="108">
        <f>'Data Entry'!D14</f>
        <v>21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23</v>
      </c>
      <c r="Q15" s="111" t="str">
        <f>'All Minorities'!G14</f>
        <v>**</v>
      </c>
      <c r="R15"/>
      <c r="T15" s="1">
        <f>'Black or African-American'!L14</f>
        <v>20</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Bay</v>
      </c>
    </row>
    <row r="6" spans="1:12">
      <c r="A6" s="135" t="str">
        <f>CONCATENATE("Percentage of Minorities at Stages of the Juvenile Justice System, ", A5, " 2024")</f>
        <v>Percentage of Minorities at Stages of the Juvenile Justice System, County: Bay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5.1287500000000001</v>
      </c>
    </row>
    <row r="8" spans="1:12" ht="25.5" customHeight="1">
      <c r="A8" s="151" t="str">
        <f>CONCATENATE("Confinement, total N=", 'Data Entry'!B14)</f>
        <v>Confinement, total N=39</v>
      </c>
      <c r="B8" s="150">
        <f>'Data Entry'!D14/'Data Entry'!B14</f>
        <v>0.53846153846153844</v>
      </c>
      <c r="C8" s="150">
        <f>'Data Entry'!E14/'Data Entry'!B14</f>
        <v>0</v>
      </c>
      <c r="D8" s="150">
        <f>'Data Entry'!F14/'Data Entry'!B14</f>
        <v>0</v>
      </c>
      <c r="E8" s="150">
        <f>'Data Entry'!G14/'Data Entry'!B14</f>
        <v>0</v>
      </c>
      <c r="F8" s="150">
        <f>'Data Entry'!H14/'Data Entry'!B14</f>
        <v>0</v>
      </c>
      <c r="G8" s="150">
        <f>'Data Entry'!I14/'Data Entry'!B14</f>
        <v>5.128205128205128E-2</v>
      </c>
      <c r="H8" s="150">
        <f>SUM(D8:G8)/'Data Entry'!B14</f>
        <v>1.3149243918474686E-3</v>
      </c>
      <c r="I8" s="150">
        <f>'Data Entry'!C14/'Data Entry'!B14</f>
        <v>0.41025641025641024</v>
      </c>
      <c r="K8" s="96" t="str">
        <f>A8</f>
        <v>Confinement, total N=39</v>
      </c>
      <c r="L8">
        <f>I14/(SUM(B14:G14))</f>
        <v>5.1287500000000001</v>
      </c>
    </row>
    <row r="9" spans="1:12">
      <c r="A9" s="128" t="str">
        <f>CONCATENATE("Delinquent Findings, total N=", 'Data Entry'!B12)</f>
        <v>Delinquent Findings, total N=56</v>
      </c>
      <c r="B9" s="150">
        <f>'Data Entry'!D12/'Data Entry'!B12</f>
        <v>0.375</v>
      </c>
      <c r="C9" s="150">
        <f>'Data Entry'!E12/'Data Entry'!B12</f>
        <v>0</v>
      </c>
      <c r="D9" s="150">
        <f>'Data Entry'!F12/'Data Entry'!B12</f>
        <v>0</v>
      </c>
      <c r="E9" s="150">
        <f>'Data Entry'!G12/'Data Entry'!B12</f>
        <v>0</v>
      </c>
      <c r="F9" s="150">
        <f>'Data Entry'!H12/'Data Entry'!B12</f>
        <v>0</v>
      </c>
      <c r="G9" s="150">
        <f>'Data Entry'!I12/'Data Entry'!B12</f>
        <v>1.7857142857142856E-2</v>
      </c>
      <c r="H9" s="150">
        <f>SUM(D9:G9)/'Data Entry'!B12</f>
        <v>3.1887755102040814E-4</v>
      </c>
      <c r="I9" s="150">
        <f>'Data Entry'!C12/'Data Entry'!B12</f>
        <v>0.6071428571428571</v>
      </c>
      <c r="K9" s="96" t="str">
        <f t="shared" si="0"/>
        <v>Delinquent Findings, total N=56</v>
      </c>
      <c r="L9">
        <f>I14/(SUM(B14:G14))</f>
        <v>5.1287500000000001</v>
      </c>
    </row>
    <row r="10" spans="1:12">
      <c r="A10" s="128" t="str">
        <f>CONCATENATE("Petitions, total N=", 'Data Entry'!B11)</f>
        <v>Petitions, total N=103</v>
      </c>
      <c r="B10" s="150">
        <f>'Data Entry'!D11/'Data Entry'!B11</f>
        <v>0.28155339805825241</v>
      </c>
      <c r="C10" s="150">
        <f>'Data Entry'!E11/'Data Entry'!B11</f>
        <v>0</v>
      </c>
      <c r="D10" s="150">
        <f>'Data Entry'!F11/'Data Entry'!B11</f>
        <v>0</v>
      </c>
      <c r="E10" s="150">
        <f>'Data Entry'!G11/'Data Entry'!B11</f>
        <v>0</v>
      </c>
      <c r="F10" s="150">
        <f>'Data Entry'!H11/'Data Entry'!B11</f>
        <v>0</v>
      </c>
      <c r="G10" s="150">
        <f>'Data Entry'!I11/'Data Entry'!B11</f>
        <v>9.7087378640776691E-3</v>
      </c>
      <c r="H10" s="150">
        <f>SUM(D10:G10)/'Data Entry'!B11</f>
        <v>9.4259590913375421E-5</v>
      </c>
      <c r="I10" s="150">
        <f>'Data Entry'!C11/'Data Entry'!B11</f>
        <v>0.70873786407766992</v>
      </c>
      <c r="K10" s="96" t="str">
        <f t="shared" si="0"/>
        <v>Petitions, total N=103</v>
      </c>
      <c r="L10">
        <f>I14/(SUM(B14:G14))</f>
        <v>5.1287500000000001</v>
      </c>
    </row>
    <row r="11" spans="1:12">
      <c r="A11" s="128" t="str">
        <f>CONCATENATE("Detentions, total N=", 'Data Entry'!B10)</f>
        <v>Detentions, total N=82</v>
      </c>
      <c r="B11" s="150">
        <f>'Data Entry'!D10/'Data Entry'!B10</f>
        <v>0.35365853658536583</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0.64634146341463417</v>
      </c>
      <c r="K11" s="96" t="str">
        <f t="shared" si="0"/>
        <v>Detentions, total N=82</v>
      </c>
      <c r="L11">
        <f>I14/(SUM(B14:G14))</f>
        <v>5.1287500000000001</v>
      </c>
    </row>
    <row r="12" spans="1:12">
      <c r="A12" s="128" t="str">
        <f>CONCATENATE("Referrals, total N=", 'Data Entry'!B8)</f>
        <v>Referrals, total N=175</v>
      </c>
      <c r="B12" s="150">
        <f>'Data Entry'!D8/'Data Entry'!B8</f>
        <v>0.25714285714285712</v>
      </c>
      <c r="C12" s="150">
        <f>'Data Entry'!E8/'Data Entry'!B8</f>
        <v>0</v>
      </c>
      <c r="D12" s="150">
        <f>'Data Entry'!F8/'Data Entry'!B8</f>
        <v>0</v>
      </c>
      <c r="E12" s="150">
        <f>'Data Entry'!G8/'Data Entry'!B8</f>
        <v>0</v>
      </c>
      <c r="F12" s="150">
        <f>'Data Entry'!H8/'Data Entry'!B8</f>
        <v>0</v>
      </c>
      <c r="G12" s="150">
        <f>'Data Entry'!I8/'Data Entry'!B8</f>
        <v>5.7142857142857143E-3</v>
      </c>
      <c r="H12" s="150">
        <f>SUM(D12:G12)/'Data Entry'!B8</f>
        <v>3.2653061224489793E-5</v>
      </c>
      <c r="I12" s="150">
        <f>'Data Entry'!C8/'Data Entry'!B8</f>
        <v>0.7371428571428571</v>
      </c>
      <c r="K12" s="96" t="str">
        <f t="shared" si="0"/>
        <v>Referrals, total N=175</v>
      </c>
      <c r="L12">
        <f>I14/(SUM(B14:G14))</f>
        <v>5.1287500000000001</v>
      </c>
    </row>
    <row r="13" spans="1:12">
      <c r="A13" s="128" t="str">
        <f>CONCATENATE("Arrests, total N=", 'Data Entry'!B7)</f>
        <v>Arrests, total N=107</v>
      </c>
      <c r="B13" s="150">
        <f>'Data Entry'!D7/'Data Entry'!B7</f>
        <v>0.28037383177570091</v>
      </c>
      <c r="C13" s="150">
        <f>'Data Entry'!E7/'Data Entry'!B7</f>
        <v>9.3457943925233638E-3</v>
      </c>
      <c r="D13" s="150">
        <f>'Data Entry'!F7/'Data Entry'!B7</f>
        <v>0</v>
      </c>
      <c r="E13" s="150">
        <f>'Data Entry'!G7/'Data Entry'!B7</f>
        <v>0</v>
      </c>
      <c r="F13" s="150">
        <f>'Data Entry'!H7/'Data Entry'!B7</f>
        <v>0</v>
      </c>
      <c r="G13" s="150">
        <f>'Data Entry'!I7/'Data Entry'!B7</f>
        <v>0</v>
      </c>
      <c r="H13" s="150">
        <f>SUM(D13:G13)/'Data Entry'!B7</f>
        <v>0</v>
      </c>
      <c r="I13" s="150">
        <f>'Data Entry'!C7/'Data Entry'!B7</f>
        <v>0.69158878504672894</v>
      </c>
      <c r="K13" s="96" t="str">
        <f t="shared" si="0"/>
        <v>Arrests, total N=107</v>
      </c>
      <c r="L13">
        <f>I14/(SUM(B14:G14))</f>
        <v>5.1287500000000001</v>
      </c>
    </row>
    <row r="14" spans="1:12">
      <c r="A14" s="128" t="str">
        <f>CONCATENATE("Population, total N=", 'Data Entry'!B6)</f>
        <v>Population, total N=9806</v>
      </c>
      <c r="B14" s="150">
        <f>'Data Entry'!D6/'Data Entry'!B6</f>
        <v>4.5890271262492351E-2</v>
      </c>
      <c r="C14" s="150">
        <f>'Data Entry'!E6/'Data Entry'!B6</f>
        <v>0.1042219049561493</v>
      </c>
      <c r="D14" s="150">
        <f>'Data Entry'!F6/'Data Entry'!B6</f>
        <v>7.0365082602488272E-3</v>
      </c>
      <c r="E14" s="150">
        <f>'Data Entry'!G6/'Data Entry'!B6</f>
        <v>0</v>
      </c>
      <c r="F14" s="150">
        <f>'Data Entry'!H6/'Data Entry'!B6</f>
        <v>6.0167244544156642E-3</v>
      </c>
      <c r="G14" s="150">
        <f>'Data Entry'!I6/'Data Entry'!B6</f>
        <v>0</v>
      </c>
      <c r="H14" s="150">
        <f>SUM(D14:G14)/'Data Entry'!B6</f>
        <v>1.3311475336186511E-6</v>
      </c>
      <c r="I14" s="150">
        <f>'Data Entry'!C6/'Data Entry'!B6</f>
        <v>0.83683459106669389</v>
      </c>
      <c r="K14" s="96" t="str">
        <f t="shared" si="0"/>
        <v>Population, total N=9806</v>
      </c>
      <c r="L14">
        <f>I14/(SUM(B14:G14))</f>
        <v>5.1287500000000001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Bay</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8206</v>
      </c>
      <c r="D7" s="104">
        <f>'Data Entry'!D6</f>
        <v>450</v>
      </c>
      <c r="E7" s="105"/>
      <c r="F7" s="106">
        <f>'Data Entry'!E6</f>
        <v>1022</v>
      </c>
      <c r="G7" s="105"/>
      <c r="H7" s="106">
        <f>'Data Entry'!F6</f>
        <v>69</v>
      </c>
      <c r="I7" s="105"/>
      <c r="J7" s="106">
        <f>'Data Entry'!J6</f>
        <v>1600</v>
      </c>
      <c r="K7" s="107"/>
    </row>
    <row r="8" spans="2:30" s="1" customFormat="1" ht="15" customHeight="1">
      <c r="B8" s="121" t="s">
        <v>8</v>
      </c>
      <c r="C8" s="103">
        <f>'Data Entry'!C7</f>
        <v>74</v>
      </c>
      <c r="D8" s="104">
        <f>'Data Entry'!D7</f>
        <v>30</v>
      </c>
      <c r="E8" s="105">
        <f>'Black or African-American'!$G7</f>
        <v>7.3927927927927923</v>
      </c>
      <c r="F8" s="106">
        <f>'Data Entry'!E7</f>
        <v>1</v>
      </c>
      <c r="G8" s="105" t="str">
        <f>Hispanic!G7</f>
        <v>**</v>
      </c>
      <c r="H8" s="106">
        <f>'Data Entry'!F7</f>
        <v>0</v>
      </c>
      <c r="I8" s="105" t="str">
        <f>Asian!G7</f>
        <v>*</v>
      </c>
      <c r="J8" s="106">
        <f>'Data Entry'!J7</f>
        <v>31</v>
      </c>
      <c r="K8" s="107">
        <f>'All Minorities'!G7</f>
        <v>2.1485304054054053</v>
      </c>
      <c r="L8"/>
      <c r="N8" s="1">
        <f>'Black or African-American'!L7</f>
        <v>1</v>
      </c>
      <c r="O8" s="1">
        <f>Hispanic!L7</f>
        <v>20</v>
      </c>
      <c r="P8" s="1">
        <f>Asian!L7</f>
        <v>139</v>
      </c>
      <c r="Q8" s="1" t="e">
        <f>Hawaiian!L7</f>
        <v>#VALUE!</v>
      </c>
      <c r="R8" s="1">
        <f>'Am Indian'!L7</f>
        <v>139</v>
      </c>
      <c r="S8" s="1" t="e">
        <f>'Other - Mixed'!L7</f>
        <v>#VALUE!</v>
      </c>
      <c r="T8" s="1">
        <f>'All Minorities'!L7</f>
        <v>1</v>
      </c>
    </row>
    <row r="9" spans="2:30" s="1" customFormat="1" ht="15" customHeight="1">
      <c r="B9" s="121" t="s">
        <v>134</v>
      </c>
      <c r="C9" s="103">
        <f>'Data Entry'!C8</f>
        <v>129</v>
      </c>
      <c r="D9" s="108">
        <f>'Data Entry'!D8</f>
        <v>45</v>
      </c>
      <c r="E9" s="109">
        <f>'Black or African-American'!$G8</f>
        <v>0.86046511627906974</v>
      </c>
      <c r="F9" s="110">
        <f>'Data Entry'!E8</f>
        <v>0</v>
      </c>
      <c r="G9" s="109" t="str">
        <f>Hispanic!G8</f>
        <v>**</v>
      </c>
      <c r="H9" s="110">
        <f>'Data Entry'!F8</f>
        <v>0</v>
      </c>
      <c r="I9" s="109" t="str">
        <f>Asian!G8</f>
        <v>*</v>
      </c>
      <c r="J9" s="110">
        <f>'Data Entry'!J8</f>
        <v>46</v>
      </c>
      <c r="K9" s="111">
        <f>'All Minorities'!G8</f>
        <v>0.85121280320080017</v>
      </c>
      <c r="L9"/>
      <c r="N9" s="1">
        <f>'Black or African-American'!L8</f>
        <v>2</v>
      </c>
      <c r="O9" s="1">
        <f>Hispanic!L8</f>
        <v>40</v>
      </c>
      <c r="P9" s="1">
        <f>Asian!L8</f>
        <v>139</v>
      </c>
      <c r="Q9" s="1">
        <f>Hawaiian!L8</f>
        <v>139</v>
      </c>
      <c r="R9" s="1">
        <f>'Am Indian'!L8</f>
        <v>139</v>
      </c>
      <c r="S9" s="1">
        <f>'Other - Mixed'!L8</f>
        <v>119</v>
      </c>
      <c r="T9" s="1">
        <f>'All Minorities'!L8</f>
        <v>2</v>
      </c>
    </row>
    <row r="10" spans="2:30" s="1" customFormat="1" ht="15" customHeight="1">
      <c r="B10" s="121" t="s">
        <v>10</v>
      </c>
      <c r="C10" s="103">
        <f>'Data Entry'!C9</f>
        <v>21</v>
      </c>
      <c r="D10" s="112">
        <f>'Data Entry'!D9</f>
        <v>2</v>
      </c>
      <c r="E10" s="113" t="str">
        <f>'Black or African-American'!$G9</f>
        <v>**</v>
      </c>
      <c r="F10" s="114">
        <f>'Data Entry'!E9</f>
        <v>0</v>
      </c>
      <c r="G10" s="113" t="str">
        <f>Hispanic!G9</f>
        <v>--</v>
      </c>
      <c r="H10" s="114">
        <f>'Data Entry'!F9</f>
        <v>0</v>
      </c>
      <c r="I10" s="113" t="str">
        <f>Asian!G9</f>
        <v>*</v>
      </c>
      <c r="J10" s="114">
        <f>'Data Entry'!J9</f>
        <v>2</v>
      </c>
      <c r="K10" s="115" t="str">
        <f>'All Minorities'!G9</f>
        <v>**</v>
      </c>
      <c r="L10"/>
      <c r="N10" s="1">
        <f>'Black or African-American'!L9</f>
        <v>20</v>
      </c>
      <c r="O10" s="1" t="e">
        <f>Hispanic!L9</f>
        <v>#VALUE!</v>
      </c>
      <c r="P10" s="1" t="e">
        <f>Asian!L9</f>
        <v>#VALUE!</v>
      </c>
      <c r="Q10" s="1" t="e">
        <f>Hawaiian!L9</f>
        <v>#VALUE!</v>
      </c>
      <c r="R10" s="1" t="e">
        <f>'Am Indian'!L9</f>
        <v>#VALUE!</v>
      </c>
      <c r="S10" s="1">
        <f>'Other - Mixed'!L9</f>
        <v>139</v>
      </c>
      <c r="T10" s="1">
        <f>'All Minorities'!L9</f>
        <v>20</v>
      </c>
    </row>
    <row r="11" spans="2:30" s="1" customFormat="1" ht="15" customHeight="1">
      <c r="B11" s="121" t="s">
        <v>11</v>
      </c>
      <c r="C11" s="103">
        <f>'Data Entry'!C10</f>
        <v>53</v>
      </c>
      <c r="D11" s="108">
        <f>'Data Entry'!D10</f>
        <v>29</v>
      </c>
      <c r="E11" s="109">
        <f>'Black or African-American'!$G10</f>
        <v>1.5685534591194967</v>
      </c>
      <c r="F11" s="110">
        <f>'Data Entry'!E10</f>
        <v>0</v>
      </c>
      <c r="G11" s="109" t="str">
        <f>Hispanic!G10</f>
        <v>--</v>
      </c>
      <c r="H11" s="110">
        <f>'Data Entry'!F10</f>
        <v>0</v>
      </c>
      <c r="I11" s="109" t="str">
        <f>Asian!G10</f>
        <v>*</v>
      </c>
      <c r="J11" s="110">
        <f>'Data Entry'!J10</f>
        <v>29</v>
      </c>
      <c r="K11" s="111">
        <f>'All Minorities'!G10</f>
        <v>1.5344544708777685</v>
      </c>
      <c r="L11"/>
      <c r="N11" s="1">
        <f>'Black or African-American'!L10</f>
        <v>1</v>
      </c>
      <c r="O11" s="1" t="e">
        <f>Hispanic!L10</f>
        <v>#VALUE!</v>
      </c>
      <c r="P11" s="1" t="e">
        <f>Asian!L10</f>
        <v>#VALUE!</v>
      </c>
      <c r="Q11" s="1" t="e">
        <f>Hawaiian!L10</f>
        <v>#VALUE!</v>
      </c>
      <c r="R11" s="1" t="e">
        <f>'Am Indian'!L10</f>
        <v>#VALUE!</v>
      </c>
      <c r="S11" s="1">
        <f>'Other - Mixed'!L10</f>
        <v>139</v>
      </c>
      <c r="T11" s="1">
        <f>'All Minorities'!L10</f>
        <v>1</v>
      </c>
    </row>
    <row r="12" spans="2:30" s="1" customFormat="1" ht="15" customHeight="1">
      <c r="B12" s="121" t="s">
        <v>95</v>
      </c>
      <c r="C12" s="103">
        <f>'Data Entry'!C11</f>
        <v>73</v>
      </c>
      <c r="D12" s="112">
        <f>'Data Entry'!D11</f>
        <v>29</v>
      </c>
      <c r="E12" s="113">
        <f>'Black or African-American'!$G11</f>
        <v>1.1388127853881278</v>
      </c>
      <c r="F12" s="114">
        <f>'Data Entry'!E11</f>
        <v>0</v>
      </c>
      <c r="G12" s="113" t="str">
        <f>Hispanic!G11</f>
        <v>--</v>
      </c>
      <c r="H12" s="114">
        <f>'Data Entry'!F11</f>
        <v>0</v>
      </c>
      <c r="I12" s="113" t="str">
        <f>Asian!G11</f>
        <v>*</v>
      </c>
      <c r="J12" s="114">
        <f>'Data Entry'!J11</f>
        <v>30</v>
      </c>
      <c r="K12" s="115">
        <f>'All Minorities'!G11</f>
        <v>1.1524717093508041</v>
      </c>
      <c r="L12"/>
      <c r="N12" s="1">
        <f>'Black or African-American'!L11</f>
        <v>2</v>
      </c>
      <c r="O12" s="1" t="e">
        <f>Hispanic!L11</f>
        <v>#VALUE!</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34</v>
      </c>
      <c r="D13" s="108">
        <f>'Data Entry'!D12</f>
        <v>21</v>
      </c>
      <c r="E13" s="109" t="str">
        <f>'Black or African-American'!$G12</f>
        <v>**</v>
      </c>
      <c r="F13" s="110">
        <f>'Data Entry'!E12</f>
        <v>0</v>
      </c>
      <c r="G13" s="109" t="str">
        <f>Hispanic!G12</f>
        <v>--</v>
      </c>
      <c r="H13" s="110">
        <f>'Data Entry'!F12</f>
        <v>0</v>
      </c>
      <c r="I13" s="109" t="str">
        <f>Asian!G12</f>
        <v>*</v>
      </c>
      <c r="J13" s="110">
        <f>'Data Entry'!J12</f>
        <v>22</v>
      </c>
      <c r="K13" s="111" t="str">
        <f>'All Minorities'!G12</f>
        <v>**</v>
      </c>
      <c r="L13"/>
      <c r="N13" s="1">
        <f>'Black or African-American'!L12</f>
        <v>20</v>
      </c>
      <c r="O13" s="1" t="e">
        <f>Hispanic!L12</f>
        <v>#VALUE!</v>
      </c>
      <c r="P13" s="1" t="e">
        <f>Asian!L12</f>
        <v>#VALUE!</v>
      </c>
      <c r="Q13" s="1" t="e">
        <f>Hawaiian!L12</f>
        <v>#VALUE!</v>
      </c>
      <c r="R13" s="1" t="e">
        <f>'Am Indian'!L12</f>
        <v>#VALUE!</v>
      </c>
      <c r="S13" s="1">
        <f>'Other - Mixed'!L12</f>
        <v>139</v>
      </c>
      <c r="T13" s="1">
        <f>'All Minorities'!L12</f>
        <v>20</v>
      </c>
      <c r="W13" s="8"/>
      <c r="X13" s="8"/>
      <c r="Y13" s="8"/>
      <c r="Z13" s="8"/>
      <c r="AA13" s="8"/>
      <c r="AB13" s="8"/>
      <c r="AC13" s="8"/>
      <c r="AD13" s="8"/>
    </row>
    <row r="14" spans="2:30" s="1" customFormat="1" ht="15" customHeight="1">
      <c r="B14" s="121" t="s">
        <v>14</v>
      </c>
      <c r="C14" s="103">
        <f>'Data Entry'!C13</f>
        <v>83</v>
      </c>
      <c r="D14" s="112">
        <f>'Data Entry'!D13</f>
        <v>30</v>
      </c>
      <c r="E14" s="113" t="str">
        <f>'Black or African-American'!$G13</f>
        <v>**</v>
      </c>
      <c r="F14" s="114">
        <f>'Data Entry'!E13</f>
        <v>0</v>
      </c>
      <c r="G14" s="113" t="str">
        <f>Hispanic!G13</f>
        <v>--</v>
      </c>
      <c r="H14" s="114">
        <f>'Data Entry'!F13</f>
        <v>0</v>
      </c>
      <c r="I14" s="113" t="str">
        <f>Asian!G13</f>
        <v>*</v>
      </c>
      <c r="J14" s="114">
        <f>'Data Entry'!J13</f>
        <v>31</v>
      </c>
      <c r="K14" s="115" t="str">
        <f>'All Minorities'!G13</f>
        <v>**</v>
      </c>
      <c r="L14"/>
      <c r="N14" s="1">
        <f>'Black or African-American'!L13</f>
        <v>20</v>
      </c>
      <c r="O14" s="1" t="e">
        <f>Hispanic!L13</f>
        <v>#VALUE!</v>
      </c>
      <c r="P14" s="1" t="e">
        <f>Asian!L13</f>
        <v>#VALUE!</v>
      </c>
      <c r="Q14" s="1" t="e">
        <f>Hawaiian!L13</f>
        <v>#VALUE!</v>
      </c>
      <c r="R14" s="1" t="e">
        <f>'Am Indian'!L13</f>
        <v>#VALUE!</v>
      </c>
      <c r="S14" s="1">
        <f>'Other - Mixed'!L13</f>
        <v>139</v>
      </c>
      <c r="T14" s="1">
        <f>'All Minorities'!L13</f>
        <v>20</v>
      </c>
      <c r="W14" s="8"/>
      <c r="X14" s="8"/>
      <c r="Y14" s="8"/>
      <c r="Z14" s="8"/>
      <c r="AA14" s="8"/>
      <c r="AB14" s="8"/>
      <c r="AC14" s="8"/>
      <c r="AD14" s="8"/>
    </row>
    <row r="15" spans="2:30" s="1" customFormat="1" ht="33">
      <c r="B15" s="126" t="s">
        <v>123</v>
      </c>
      <c r="C15" s="103">
        <f>'Data Entry'!C14</f>
        <v>16</v>
      </c>
      <c r="D15" s="108">
        <f>'Data Entry'!D14</f>
        <v>21</v>
      </c>
      <c r="E15" s="109" t="str">
        <f>'Black or African-American'!$G14</f>
        <v>**</v>
      </c>
      <c r="F15" s="110">
        <f>'Data Entry'!E14</f>
        <v>0</v>
      </c>
      <c r="G15" s="109" t="str">
        <f>Hispanic!G14</f>
        <v>--</v>
      </c>
      <c r="H15" s="110">
        <f>'Data Entry'!F14</f>
        <v>0</v>
      </c>
      <c r="I15" s="109" t="str">
        <f>Asian!G14</f>
        <v>*</v>
      </c>
      <c r="J15" s="110">
        <f>'Data Entry'!J14</f>
        <v>23</v>
      </c>
      <c r="K15" s="111" t="str">
        <f>'All Minorities'!G14</f>
        <v>**</v>
      </c>
      <c r="L15"/>
      <c r="N15" s="1">
        <f>'Black or African-American'!L14</f>
        <v>20</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Entry'!D6</f>
        <v>450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Entry'!D7</f>
        <v>30</v>
      </c>
      <c r="F7" s="34">
        <f>IF((AND($E$7&gt;0,$D$66&gt;0)),($E$7/$D$66),0)</f>
        <v>66.666666666666671</v>
      </c>
      <c r="G7" s="39">
        <f>IF(L$6=100,"*",IF(M7=FALSE,"--",IF(K7=20,"**",($F7/$D7))))</f>
        <v>7.3927927927927923</v>
      </c>
      <c r="H7" s="40"/>
      <c r="I7" s="41"/>
      <c r="J7" s="40">
        <f>IF((ABS($U7)&gt;Defaults!D$7),1,2)</f>
        <v>1</v>
      </c>
      <c r="K7" s="39">
        <f>IF((AND(N7&gt;Defaults!B$12,(N7+O7)&gt;Defaults!B$13, P7 &gt; Defaults!B$12, (P7+Q7) &gt; Defaults!B$13)),1,20)</f>
        <v>1</v>
      </c>
      <c r="L7" s="1">
        <f>(J7*K7+L$6)-1</f>
        <v>1</v>
      </c>
      <c r="M7" s="1" t="b">
        <f t="shared" ref="M7:M15" si="0">(ISNUMBER(J7))</f>
        <v>1</v>
      </c>
      <c r="N7" s="42">
        <f t="shared" ref="N7:N15" si="1">E7</f>
        <v>30</v>
      </c>
      <c r="O7" s="42">
        <f>E6-E7</f>
        <v>420</v>
      </c>
      <c r="P7" s="42">
        <f t="shared" ref="P7:P15" si="2">C7</f>
        <v>74</v>
      </c>
      <c r="Q7" s="42">
        <f>C6-C7</f>
        <v>8132</v>
      </c>
      <c r="R7" s="42">
        <f t="shared" ref="R7:R15" si="3">SUM(N7:Q7)</f>
        <v>8656</v>
      </c>
      <c r="S7" s="30">
        <f t="shared" ref="S7:S15" si="4">R7*((((N7*Q7)-(O7*P7))^2))</f>
        <v>392271693926400</v>
      </c>
      <c r="T7" s="30">
        <f t="shared" ref="T7:T15" si="5">(N7+O7)*(P7+Q7)*(N7+P7)*(O7+Q7)</f>
        <v>3284316921600</v>
      </c>
      <c r="U7" s="31">
        <f t="shared" ref="U7:U15" si="6">IF((S7&gt;0),S7/T7,"- -")</f>
        <v>119.43783236829029</v>
      </c>
    </row>
    <row r="8" spans="2:21" ht="18" customHeight="1">
      <c r="B8" s="32" t="str">
        <f>'Data Entry'!A8</f>
        <v>3. Refer to Juvenile Court</v>
      </c>
      <c r="C8" s="33">
        <f>'Data Entry'!C8</f>
        <v>129</v>
      </c>
      <c r="D8" s="34">
        <f>IF((AND(C67&gt;0,C8&gt;0)),(C8/C67),0)</f>
        <v>174.32432432432432</v>
      </c>
      <c r="E8" s="33">
        <f>'Data Entry'!D8</f>
        <v>45</v>
      </c>
      <c r="F8" s="34">
        <f>IF((AND($E$8&gt;0,$D$67&gt;0)),($E8/$D67),0)</f>
        <v>150</v>
      </c>
      <c r="G8" s="39">
        <f t="shared" ref="G8:G15" si="7">IF(L$6=100,"*",IF(M8=FALSE,"--",IF(K8=20,"**",($F8/$D8))))</f>
        <v>0.86046511627906974</v>
      </c>
      <c r="H8" s="40"/>
      <c r="I8" s="41"/>
      <c r="J8" s="40">
        <f>IF((ABS($U8)&gt;Defaults!D$7),1,2)</f>
        <v>2</v>
      </c>
      <c r="K8" s="39">
        <f>IF((AND(N8&gt;Defaults!B$12,(N8+O8)&gt;Defaults!B$13, P8 &gt; Defaults!B$12, (P8+Q8) &gt; Defaults!B$13)),1,20)</f>
        <v>1</v>
      </c>
      <c r="L8" s="1">
        <f t="shared" ref="L8:L15" si="8">(J8*K8+L$6)-1</f>
        <v>2</v>
      </c>
      <c r="M8" s="1" t="b">
        <f t="shared" si="0"/>
        <v>1</v>
      </c>
      <c r="N8" s="42">
        <f t="shared" si="1"/>
        <v>45</v>
      </c>
      <c r="O8" s="42">
        <f>((D67*L67)-E8)+0.05</f>
        <v>-14.95</v>
      </c>
      <c r="P8" s="42">
        <f t="shared" si="2"/>
        <v>129</v>
      </c>
      <c r="Q8" s="42">
        <f>(C$67*L67)-C8</f>
        <v>-55</v>
      </c>
      <c r="R8" s="42">
        <f t="shared" si="3"/>
        <v>104.05000000000001</v>
      </c>
      <c r="S8" s="30">
        <f t="shared" si="4"/>
        <v>31070121.040125009</v>
      </c>
      <c r="T8" s="30">
        <f t="shared" si="5"/>
        <v>-27065319.810000006</v>
      </c>
      <c r="U8" s="31">
        <f t="shared" si="6"/>
        <v>-1.1479679995743233</v>
      </c>
    </row>
    <row r="9" spans="2:21" ht="18" customHeight="1">
      <c r="B9" s="32" t="str">
        <f>'Data Entry'!A9</f>
        <v xml:space="preserve">4. Cases Diverted </v>
      </c>
      <c r="C9" s="33">
        <f>'Data Entry'!C9</f>
        <v>21</v>
      </c>
      <c r="D9" s="34">
        <f>IF((AND(C68&gt;0,C9&gt;0)),((C9/C68)),0)</f>
        <v>16.279069767441861</v>
      </c>
      <c r="E9" s="33">
        <f>'Data Entry'!D9</f>
        <v>2</v>
      </c>
      <c r="F9" s="34">
        <f>IF((AND($E$9&gt;0,$D$68&gt;0)),(($E$9/$D$68)),0)</f>
        <v>4.4444444444444446</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2</v>
      </c>
      <c r="O9" s="42">
        <f>(D$68*L68)-E9</f>
        <v>43</v>
      </c>
      <c r="P9" s="42">
        <f t="shared" si="2"/>
        <v>21</v>
      </c>
      <c r="Q9" s="42">
        <f>(C$68*L68)-C9</f>
        <v>108</v>
      </c>
      <c r="R9" s="42">
        <f t="shared" si="3"/>
        <v>174</v>
      </c>
      <c r="S9" s="30">
        <f t="shared" si="4"/>
        <v>82122606</v>
      </c>
      <c r="T9" s="30">
        <f t="shared" si="5"/>
        <v>20160765</v>
      </c>
      <c r="U9" s="31">
        <f t="shared" si="6"/>
        <v>4.0733873937819327</v>
      </c>
    </row>
    <row r="10" spans="2:21" ht="18" customHeight="1">
      <c r="B10" s="32" t="str">
        <f>'Data Entry'!A10</f>
        <v>5. Cases Involving Secure Detention</v>
      </c>
      <c r="C10" s="33">
        <f>'Data Entry'!C10</f>
        <v>53</v>
      </c>
      <c r="D10" s="34">
        <f>IF(((AND(C68&gt;0,C10&gt;0))),(C10/(C68)),0)</f>
        <v>41.085271317829459</v>
      </c>
      <c r="E10" s="33">
        <f>'Data Entry'!D10</f>
        <v>29</v>
      </c>
      <c r="F10" s="34">
        <f>IF(((AND($E$10&gt;0,$D$68&gt;0))),($E$10/($D$68)),0)</f>
        <v>64.444444444444443</v>
      </c>
      <c r="G10" s="39">
        <f t="shared" si="7"/>
        <v>1.5685534591194967</v>
      </c>
      <c r="H10" s="40"/>
      <c r="I10" s="41"/>
      <c r="J10" s="40">
        <f>IF((ABS($U10)&gt;Defaults!D$7),1,2)</f>
        <v>1</v>
      </c>
      <c r="K10" s="39">
        <f>IF((AND(N10&gt;Defaults!B$12,(N10+O10)&gt;Defaults!B$13, P10 &gt; Defaults!B$12, (P10+Q10) &gt; Defaults!B$13)),1,20)</f>
        <v>1</v>
      </c>
      <c r="L10" s="1">
        <f t="shared" si="8"/>
        <v>1</v>
      </c>
      <c r="M10" s="1" t="b">
        <f t="shared" si="0"/>
        <v>1</v>
      </c>
      <c r="N10" s="42">
        <f t="shared" si="1"/>
        <v>29</v>
      </c>
      <c r="O10" s="42">
        <f>(D$68*L68)-E10</f>
        <v>16</v>
      </c>
      <c r="P10" s="42">
        <f t="shared" si="2"/>
        <v>53</v>
      </c>
      <c r="Q10" s="42">
        <f>(C$68*L68)-C10</f>
        <v>76</v>
      </c>
      <c r="R10" s="42">
        <f t="shared" si="3"/>
        <v>174</v>
      </c>
      <c r="S10" s="30">
        <f t="shared" si="4"/>
        <v>319940064</v>
      </c>
      <c r="T10" s="30">
        <f t="shared" si="5"/>
        <v>43792920</v>
      </c>
      <c r="U10" s="31">
        <f t="shared" si="6"/>
        <v>7.3057486004587044</v>
      </c>
    </row>
    <row r="11" spans="2:21" ht="18" customHeight="1">
      <c r="B11" s="32" t="str">
        <f>'Data Entry'!A11</f>
        <v>6. Cases Petitioned (Charge Filed)</v>
      </c>
      <c r="C11" s="33">
        <f>'Data Entry'!C11</f>
        <v>73</v>
      </c>
      <c r="D11" s="34">
        <f>IF(((AND(C68&gt;0,C11&gt;0))),(C11/(C68)),0)</f>
        <v>56.589147286821706</v>
      </c>
      <c r="E11" s="33">
        <f>'Data Entry'!D11</f>
        <v>29</v>
      </c>
      <c r="F11" s="34">
        <f>IF(((AND($E$11&gt;0,$D$68&gt;0))),($E$11/($D$68)),0)</f>
        <v>64.444444444444443</v>
      </c>
      <c r="G11" s="39">
        <f t="shared" si="7"/>
        <v>1.1388127853881278</v>
      </c>
      <c r="H11" s="40"/>
      <c r="I11" s="41"/>
      <c r="J11" s="40">
        <f>IF((ABS($U11)&gt;Defaults!D$7),1,2)</f>
        <v>2</v>
      </c>
      <c r="K11" s="39">
        <f>IF((AND(N11&gt;Defaults!B$12,(N11+O11)&gt;Defaults!B$13, P11 &gt; Defaults!B$12, (P11+Q11) &gt; Defaults!B$13)),1,20)</f>
        <v>1</v>
      </c>
      <c r="L11" s="1">
        <f t="shared" si="8"/>
        <v>2</v>
      </c>
      <c r="M11" s="1" t="b">
        <f t="shared" si="0"/>
        <v>1</v>
      </c>
      <c r="N11" s="42">
        <f t="shared" si="1"/>
        <v>29</v>
      </c>
      <c r="O11" s="42">
        <f>(D$68*L68)-E11</f>
        <v>16</v>
      </c>
      <c r="P11" s="42">
        <f t="shared" si="2"/>
        <v>73</v>
      </c>
      <c r="Q11" s="42">
        <f>(C$68*L68)-C11</f>
        <v>56</v>
      </c>
      <c r="R11" s="42">
        <f t="shared" si="3"/>
        <v>174</v>
      </c>
      <c r="S11" s="30">
        <f t="shared" si="4"/>
        <v>36180864</v>
      </c>
      <c r="T11" s="30">
        <f t="shared" si="5"/>
        <v>42631920</v>
      </c>
      <c r="U11" s="31">
        <f t="shared" si="6"/>
        <v>0.84868014389218216</v>
      </c>
    </row>
    <row r="12" spans="2:21" ht="18" customHeight="1">
      <c r="B12" s="32" t="str">
        <f>'Data Entry'!A12</f>
        <v>7. Cases Resulting in Delinquent Findings</v>
      </c>
      <c r="C12" s="33">
        <f>'Data Entry'!C12</f>
        <v>34</v>
      </c>
      <c r="D12" s="34">
        <f>IF(((AND(C69&gt;0,C12&gt;0))),(C12/(C69)),0)</f>
        <v>46.575342465753423</v>
      </c>
      <c r="E12" s="33">
        <f>'Data Entry'!D12</f>
        <v>21</v>
      </c>
      <c r="F12" s="34">
        <f>IF(((AND($D$69&gt;0,$E$12&gt;0))),(E12/(D69)),0)</f>
        <v>72.413793103448285</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21</v>
      </c>
      <c r="O12" s="42">
        <f>(D69*L69)-E12</f>
        <v>7.9999999999999964</v>
      </c>
      <c r="P12" s="42">
        <f t="shared" si="2"/>
        <v>34</v>
      </c>
      <c r="Q12" s="42">
        <f>(C69*L69)-C12</f>
        <v>39</v>
      </c>
      <c r="R12" s="42">
        <f t="shared" si="3"/>
        <v>102</v>
      </c>
      <c r="S12" s="30">
        <f t="shared" si="4"/>
        <v>30519318.000000011</v>
      </c>
      <c r="T12" s="30">
        <f t="shared" si="5"/>
        <v>5472444.9999999991</v>
      </c>
      <c r="U12" s="31">
        <f t="shared" si="6"/>
        <v>5.5769072142342253</v>
      </c>
    </row>
    <row r="13" spans="2:21" ht="18" customHeight="1">
      <c r="B13" s="32" t="str">
        <f>'Data Entry'!A13</f>
        <v>8. Cases Resulting in Probation Placement</v>
      </c>
      <c r="C13" s="33">
        <f>'Data Entry'!C13</f>
        <v>83</v>
      </c>
      <c r="D13" s="34">
        <f>IF(((AND(C70&gt;0,C13&gt;0))),(C13/(C70)),0)</f>
        <v>244.11764705882351</v>
      </c>
      <c r="E13" s="33">
        <f>'Data Entry'!D13</f>
        <v>30</v>
      </c>
      <c r="F13" s="34">
        <f>IF(((AND($D$70&gt;0,$E$13&gt;0))),($E$13/($D$70)),0)</f>
        <v>142.85714285714286</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30</v>
      </c>
      <c r="O13" s="42">
        <f>(D70*L70)-E13</f>
        <v>-9</v>
      </c>
      <c r="P13" s="42">
        <f t="shared" si="2"/>
        <v>83</v>
      </c>
      <c r="Q13" s="42">
        <f>(C70*L70)-C13</f>
        <v>-49</v>
      </c>
      <c r="R13" s="42">
        <f t="shared" si="3"/>
        <v>55</v>
      </c>
      <c r="S13" s="30">
        <f t="shared" si="4"/>
        <v>28750095</v>
      </c>
      <c r="T13" s="30">
        <f t="shared" si="5"/>
        <v>-4679556</v>
      </c>
      <c r="U13" s="31">
        <f t="shared" si="6"/>
        <v>-6.1437655623738658</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Entry'!D14</f>
        <v>21</v>
      </c>
      <c r="F14" s="34">
        <f>IF(((AND($D$70&gt;0,$E$14&gt;0))), (($E$14/($D$70))),0)</f>
        <v>100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21</v>
      </c>
      <c r="O14" s="42">
        <f>(D70*L70)-E14</f>
        <v>0</v>
      </c>
      <c r="P14" s="42">
        <f t="shared" si="2"/>
        <v>16</v>
      </c>
      <c r="Q14" s="42">
        <f>(C70*L70)-C14</f>
        <v>18</v>
      </c>
      <c r="R14" s="42">
        <f t="shared" si="3"/>
        <v>55</v>
      </c>
      <c r="S14" s="30">
        <f t="shared" si="4"/>
        <v>7858620</v>
      </c>
      <c r="T14" s="30">
        <f t="shared" si="5"/>
        <v>475524</v>
      </c>
      <c r="U14" s="31">
        <f t="shared" si="6"/>
        <v>16.526232114467408</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28.999999999999996</v>
      </c>
      <c r="P15" s="42">
        <f t="shared" si="2"/>
        <v>0</v>
      </c>
      <c r="Q15" s="42">
        <f>(C69*L69)-C15</f>
        <v>73</v>
      </c>
      <c r="R15" s="42">
        <f t="shared" si="3"/>
        <v>102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0.45</v>
      </c>
      <c r="E42" s="56">
        <f>MAX(C42:D42)</f>
        <v>8.2059999999999995</v>
      </c>
      <c r="G42" s="1" t="str">
        <f>B42</f>
        <v>per 1000 youth</v>
      </c>
      <c r="L42" s="57">
        <v>1000</v>
      </c>
      <c r="M42" s="57"/>
      <c r="R42" s="49"/>
    </row>
    <row r="43" spans="2:18" ht="15" hidden="1" customHeight="1">
      <c r="B43" s="49" t="s">
        <v>87</v>
      </c>
      <c r="C43" s="56">
        <f>C7/100</f>
        <v>0.74</v>
      </c>
      <c r="D43" s="56">
        <f>E7/100</f>
        <v>0.3</v>
      </c>
      <c r="E43" s="56">
        <f>MAX(C43:D43,0)</f>
        <v>0.74</v>
      </c>
      <c r="G43" s="1" t="str">
        <f>B43</f>
        <v>per 100 arrests</v>
      </c>
      <c r="L43" s="57">
        <v>100</v>
      </c>
      <c r="M43" s="57"/>
      <c r="R43" s="49"/>
    </row>
    <row r="44" spans="2:18" ht="15" hidden="1" customHeight="1">
      <c r="B44" s="49" t="s">
        <v>88</v>
      </c>
      <c r="C44" s="56">
        <f>C8/100</f>
        <v>1.29</v>
      </c>
      <c r="D44" s="56">
        <f>E8/100</f>
        <v>0.45</v>
      </c>
      <c r="E44" s="56">
        <f>MAX(C44:D44,0)</f>
        <v>1.29</v>
      </c>
      <c r="G44" s="1" t="str">
        <f>B44</f>
        <v>per 100 referrals</v>
      </c>
      <c r="L44" s="57">
        <v>100</v>
      </c>
      <c r="M44" s="57"/>
      <c r="R44" s="49"/>
    </row>
    <row r="45" spans="2:18" ht="15" hidden="1" customHeight="1">
      <c r="B45" s="49" t="s">
        <v>89</v>
      </c>
      <c r="C45" s="49">
        <f>C11/100</f>
        <v>0.73</v>
      </c>
      <c r="D45" s="49">
        <f>E11/100</f>
        <v>0.28999999999999998</v>
      </c>
      <c r="E45" s="56">
        <f>MAX(C45:D45,0)</f>
        <v>0.73</v>
      </c>
      <c r="G45" s="1" t="str">
        <f>B45</f>
        <v>per 100 youth petitioned</v>
      </c>
      <c r="L45" s="57">
        <v>100</v>
      </c>
      <c r="M45" s="57"/>
      <c r="R45" s="49"/>
    </row>
    <row r="46" spans="2:18" ht="15" hidden="1" customHeight="1">
      <c r="B46" s="49" t="s">
        <v>90</v>
      </c>
      <c r="C46" s="49">
        <f>C12/100</f>
        <v>0.34</v>
      </c>
      <c r="D46" s="49">
        <f>E12/100</f>
        <v>0.21</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0.45</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0.74</v>
      </c>
      <c r="D49" s="49">
        <f t="shared" si="9"/>
        <v>0.3</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0.45</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0.28999999999999998</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0.21</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0.45</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0.3</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0.45</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0.28999999999999998</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0.21</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0.45</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0.3</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0.45</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0.28999999999999998</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0.21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0.45</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0.3</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0.45</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0.28999999999999998</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0.21</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Entry'!F6</f>
        <v>69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69</v>
      </c>
      <c r="P7" s="42">
        <f t="shared" ref="P7:P15" si="4">C7</f>
        <v>74</v>
      </c>
      <c r="Q7" s="42">
        <f>C6-C7</f>
        <v>8132</v>
      </c>
      <c r="R7" s="42">
        <f t="shared" ref="R7:R15" si="5">SUM(N7:Q7)</f>
        <v>8275</v>
      </c>
      <c r="S7" s="30">
        <f t="shared" ref="S7:S15" si="6">R7*((((N7*Q7)-(O7*P7))^2))</f>
        <v>215739477900</v>
      </c>
      <c r="T7" s="30">
        <f t="shared" ref="T7:T15" si="7">(N7+O7)*(P7+Q7)*(N7+P7)*(O7+Q7)</f>
        <v>343620555036</v>
      </c>
      <c r="U7" s="31">
        <f t="shared" ref="U7:U15" si="8">IF((S7&gt;0),S7/T7,"- -")</f>
        <v>0.62784217864207126</v>
      </c>
    </row>
    <row r="8" spans="2:21" ht="18" customHeight="1">
      <c r="B8" s="32" t="str">
        <f>'Data Entry'!A8</f>
        <v>3. Refer to Juvenile Court</v>
      </c>
      <c r="C8" s="33">
        <f>'Data Entry'!C8</f>
        <v>129</v>
      </c>
      <c r="D8" s="34">
        <f>IF((AND(C67&gt;0,C8&gt;0)),(C8/C67),0)</f>
        <v>174.32432432432432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129</v>
      </c>
      <c r="Q8" s="42">
        <f>(C$67*L67)-C8</f>
        <v>-55</v>
      </c>
      <c r="R8" s="42">
        <f t="shared" si="5"/>
        <v>74.050000000000011</v>
      </c>
      <c r="S8" s="30">
        <f t="shared" si="6"/>
        <v>3080.6651250000004</v>
      </c>
      <c r="T8" s="30">
        <f t="shared" si="7"/>
        <v>-26227.635000000002</v>
      </c>
      <c r="U8" s="31">
        <f t="shared" si="8"/>
        <v>-0.11745874628040234</v>
      </c>
    </row>
    <row r="9" spans="2:21" ht="18" customHeight="1">
      <c r="B9" s="32" t="str">
        <f>'Data Entry'!A9</f>
        <v xml:space="preserve">4. Cases Diverted </v>
      </c>
      <c r="C9" s="33">
        <f>'Data Entry'!C9</f>
        <v>21</v>
      </c>
      <c r="D9" s="34">
        <f>IF((AND(C68&gt;0,C9&gt;0)),((C9/C68)),0)</f>
        <v>16.279069767441861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v>
      </c>
      <c r="Q9" s="42">
        <f>(C$68*L68)-C9</f>
        <v>108</v>
      </c>
      <c r="R9" s="42">
        <f t="shared" si="5"/>
        <v>129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41.085271317829459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76</v>
      </c>
      <c r="R10" s="42">
        <f t="shared" si="5"/>
        <v>129</v>
      </c>
      <c r="S10" s="30">
        <f t="shared" si="6"/>
        <v>0</v>
      </c>
      <c r="T10" s="30">
        <f t="shared" si="7"/>
        <v>0</v>
      </c>
      <c r="U10" s="31" t="str">
        <f t="shared" si="8"/>
        <v>- -</v>
      </c>
    </row>
    <row r="11" spans="2:21" ht="18" customHeight="1">
      <c r="B11" s="32" t="str">
        <f>'Data Entry'!A11</f>
        <v>6. Cases Petitioned (Charge Filed)</v>
      </c>
      <c r="C11" s="33">
        <f>'Data Entry'!C11</f>
        <v>73</v>
      </c>
      <c r="D11" s="34">
        <f>IF(((AND(C68&gt;0,C11&gt;0))),(C11/(C68)),0)</f>
        <v>56.589147286821706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73</v>
      </c>
      <c r="Q11" s="42">
        <f>(C$68*L68)-C11</f>
        <v>56</v>
      </c>
      <c r="R11" s="42">
        <f t="shared" si="5"/>
        <v>129</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46.575342465753423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83</v>
      </c>
      <c r="D13" s="34">
        <f>IF(((AND(C70&gt;0,C13&gt;0))),(C13/(C70)),0)</f>
        <v>244.11764705882351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83</v>
      </c>
      <c r="Q13" s="42">
        <f>(C70*L70)-C13</f>
        <v>-49</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18</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6.9000000000000006E-2</v>
      </c>
      <c r="E42" s="56">
        <f>MAX(C42:D42)</f>
        <v>8.2059999999999995</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1.29</v>
      </c>
      <c r="D44" s="56">
        <f>E8/100</f>
        <v>0</v>
      </c>
      <c r="E44" s="56">
        <f>MAX(C44:D44,0)</f>
        <v>1.29</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6.9000000000000006E-2</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6.9000000000000006E-2</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6.9000000000000006E-2</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6.9000000000000006E-2</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Entry'!E6</f>
        <v>1022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Entry'!E7</f>
        <v>1</v>
      </c>
      <c r="F7" s="34">
        <f>IF((AND($E$7&gt;0,$D$66&gt;0)),($E$7/$D$66),0)</f>
        <v>0.97847358121330719</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1021</v>
      </c>
      <c r="P7" s="42">
        <f t="shared" ref="P7:P15" si="4">C7</f>
        <v>74</v>
      </c>
      <c r="Q7" s="42">
        <f>C6-C7</f>
        <v>8132</v>
      </c>
      <c r="R7" s="42">
        <f t="shared" ref="R7:R15" si="5">SUM(N7:Q7)</f>
        <v>9228</v>
      </c>
      <c r="S7" s="30">
        <f t="shared" ref="S7:S15" si="6">R7*((((N7*Q7)-(O7*P7))^2))</f>
        <v>41947960303152</v>
      </c>
      <c r="T7" s="30">
        <f t="shared" ref="T7:T15" si="7">(N7+O7)*(P7+Q7)*(N7+P7)*(O7+Q7)</f>
        <v>5757144554700</v>
      </c>
      <c r="U7" s="31">
        <f t="shared" ref="U7:U15" si="8">IF((S7&gt;0),S7/T7,"- -")</f>
        <v>7.2862440580733123</v>
      </c>
    </row>
    <row r="8" spans="2:21" ht="18" customHeight="1">
      <c r="B8" s="32" t="str">
        <f>'Data Entry'!A8</f>
        <v>3. Refer to Juvenile Court</v>
      </c>
      <c r="C8" s="33">
        <f>'Data Entry'!C8</f>
        <v>129</v>
      </c>
      <c r="D8" s="34">
        <f>IF((AND(C67&gt;0,C8&gt;0)),(C8/C67),0)</f>
        <v>174.32432432432432</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129</v>
      </c>
      <c r="Q8" s="42">
        <f>(C$67*L67)-C8</f>
        <v>-55</v>
      </c>
      <c r="R8" s="42">
        <f t="shared" si="5"/>
        <v>75.050000000000011</v>
      </c>
      <c r="S8" s="30">
        <f t="shared" si="6"/>
        <v>1376920.0226250004</v>
      </c>
      <c r="T8" s="30">
        <f t="shared" si="7"/>
        <v>-540757.03500000003</v>
      </c>
      <c r="U8" s="31">
        <f t="shared" si="8"/>
        <v>-2.5462822182701705</v>
      </c>
    </row>
    <row r="9" spans="2:21" ht="18" customHeight="1">
      <c r="B9" s="32" t="str">
        <f>'Data Entry'!A9</f>
        <v xml:space="preserve">4. Cases Diverted </v>
      </c>
      <c r="C9" s="33">
        <f>'Data Entry'!C9</f>
        <v>21</v>
      </c>
      <c r="D9" s="34">
        <f>IF((AND(C68&gt;0,C9&gt;0)),((C9/C68)),0)</f>
        <v>16.279069767441861</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v>
      </c>
      <c r="Q9" s="42">
        <f>(C$68*L68)-C9</f>
        <v>108</v>
      </c>
      <c r="R9" s="42">
        <f t="shared" si="5"/>
        <v>129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41.085271317829459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76</v>
      </c>
      <c r="R10" s="42">
        <f t="shared" si="5"/>
        <v>129</v>
      </c>
      <c r="S10" s="30">
        <f t="shared" si="6"/>
        <v>0</v>
      </c>
      <c r="T10" s="30">
        <f t="shared" si="7"/>
        <v>0</v>
      </c>
      <c r="U10" s="31" t="str">
        <f t="shared" si="8"/>
        <v>- -</v>
      </c>
    </row>
    <row r="11" spans="2:21" ht="18" customHeight="1">
      <c r="B11" s="32" t="str">
        <f>'Data Entry'!A11</f>
        <v>6. Cases Petitioned (Charge Filed)</v>
      </c>
      <c r="C11" s="33">
        <f>'Data Entry'!C11</f>
        <v>73</v>
      </c>
      <c r="D11" s="34">
        <f>IF(((AND(C68&gt;0,C11&gt;0))),(C11/(C68)),0)</f>
        <v>56.589147286821706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73</v>
      </c>
      <c r="Q11" s="42">
        <f>(C$68*L68)-C11</f>
        <v>56</v>
      </c>
      <c r="R11" s="42">
        <f t="shared" si="5"/>
        <v>129</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46.575342465753423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83</v>
      </c>
      <c r="D13" s="34">
        <f>IF(((AND(C70&gt;0,C13&gt;0))),(C13/(C70)),0)</f>
        <v>244.11764705882351</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83</v>
      </c>
      <c r="Q13" s="42">
        <f>(C70*L70)-C13</f>
        <v>-49</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18</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1.022</v>
      </c>
      <c r="E42" s="56">
        <f>MAX(C42:D42)</f>
        <v>8.2059999999999995</v>
      </c>
      <c r="G42" s="1" t="str">
        <f>B42</f>
        <v>per 1000 youth</v>
      </c>
      <c r="L42" s="57">
        <v>1000</v>
      </c>
      <c r="M42" s="57"/>
      <c r="R42" s="49"/>
    </row>
    <row r="43" spans="2:18" ht="15" hidden="1" customHeight="1">
      <c r="B43" s="49" t="s">
        <v>87</v>
      </c>
      <c r="C43" s="56">
        <f>C7/100</f>
        <v>0.74</v>
      </c>
      <c r="D43" s="56">
        <f>E7/100</f>
        <v>0.01</v>
      </c>
      <c r="E43" s="56">
        <f>MAX(C43:D43,0)</f>
        <v>0.74</v>
      </c>
      <c r="G43" s="1" t="str">
        <f>B43</f>
        <v>per 100 arrests</v>
      </c>
      <c r="L43" s="57">
        <v>100</v>
      </c>
      <c r="M43" s="57"/>
      <c r="R43" s="49"/>
    </row>
    <row r="44" spans="2:18" ht="15" hidden="1" customHeight="1">
      <c r="B44" s="49" t="s">
        <v>88</v>
      </c>
      <c r="C44" s="56">
        <f>C8/100</f>
        <v>1.29</v>
      </c>
      <c r="D44" s="56">
        <f>E8/100</f>
        <v>0</v>
      </c>
      <c r="E44" s="56">
        <f>MAX(C44:D44,0)</f>
        <v>1.29</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1.022</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0.01</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1.022</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0.01</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1.022</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0.01</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1.022</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0.01</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74</v>
      </c>
      <c r="Q7" s="42">
        <f>C6-C7</f>
        <v>8132</v>
      </c>
      <c r="R7" s="42">
        <f t="shared" ref="R7:R15" si="5">SUM(N7:Q7)</f>
        <v>8206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129</v>
      </c>
      <c r="D8" s="34">
        <f>IF((AND(C67&gt;0,C8&gt;0)),(C8/C67),0)</f>
        <v>174.32432432432432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129</v>
      </c>
      <c r="Q8" s="42">
        <f>(C$67*L67)-C8</f>
        <v>-55</v>
      </c>
      <c r="R8" s="42">
        <f t="shared" si="5"/>
        <v>74.050000000000011</v>
      </c>
      <c r="S8" s="30">
        <f t="shared" si="6"/>
        <v>3080.6651250000004</v>
      </c>
      <c r="T8" s="30">
        <f t="shared" si="7"/>
        <v>-26227.635000000002</v>
      </c>
      <c r="U8" s="31">
        <f t="shared" si="8"/>
        <v>-0.11745874628040234</v>
      </c>
    </row>
    <row r="9" spans="2:21" ht="18" customHeight="1">
      <c r="B9" s="32" t="str">
        <f>'Data Entry'!A9</f>
        <v xml:space="preserve">4. Cases Diverted </v>
      </c>
      <c r="C9" s="33">
        <f>'Data Entry'!C9</f>
        <v>21</v>
      </c>
      <c r="D9" s="34">
        <f>IF((AND(C68&gt;0,C9&gt;0)),((C9/C68)),0)</f>
        <v>16.279069767441861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v>
      </c>
      <c r="Q9" s="42">
        <f>(C$68*L68)-C9</f>
        <v>108</v>
      </c>
      <c r="R9" s="42">
        <f t="shared" si="5"/>
        <v>129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41.085271317829459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76</v>
      </c>
      <c r="R10" s="42">
        <f t="shared" si="5"/>
        <v>129</v>
      </c>
      <c r="S10" s="30">
        <f t="shared" si="6"/>
        <v>0</v>
      </c>
      <c r="T10" s="30">
        <f t="shared" si="7"/>
        <v>0</v>
      </c>
      <c r="U10" s="31" t="str">
        <f t="shared" si="8"/>
        <v>- -</v>
      </c>
    </row>
    <row r="11" spans="2:21" ht="18" customHeight="1">
      <c r="B11" s="32" t="str">
        <f>'Data Entry'!A11</f>
        <v>6. Cases Petitioned (Charge Filed)</v>
      </c>
      <c r="C11" s="33">
        <f>'Data Entry'!C11</f>
        <v>73</v>
      </c>
      <c r="D11" s="34">
        <f>IF(((AND(C68&gt;0,C11&gt;0))),(C11/(C68)),0)</f>
        <v>56.589147286821706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73</v>
      </c>
      <c r="Q11" s="42">
        <f>(C$68*L68)-C11</f>
        <v>56</v>
      </c>
      <c r="R11" s="42">
        <f t="shared" si="5"/>
        <v>129</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46.575342465753423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83</v>
      </c>
      <c r="D13" s="34">
        <f>IF(((AND(C70&gt;0,C13&gt;0))),(C13/(C70)),0)</f>
        <v>244.11764705882351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83</v>
      </c>
      <c r="Q13" s="42">
        <f>(C70*L70)-C13</f>
        <v>-49</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18</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0</v>
      </c>
      <c r="E42" s="56">
        <f>MAX(C42:D42)</f>
        <v>8.2059999999999995</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1.29</v>
      </c>
      <c r="D44" s="56">
        <f>E8/100</f>
        <v>0</v>
      </c>
      <c r="E44" s="56">
        <f>MAX(C44:D44,0)</f>
        <v>1.29</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0</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0</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0</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0</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8206</v>
      </c>
      <c r="D6" s="34"/>
      <c r="E6" s="33">
        <f>'Data Entry'!H6</f>
        <v>59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74</v>
      </c>
      <c r="D7" s="34">
        <f>IF((AND(C66&gt;0,C7&gt;0)),(C7/C66),0)</f>
        <v>9.0177918596149169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59</v>
      </c>
      <c r="P7" s="42">
        <f t="shared" ref="P7:P15" si="4">C7</f>
        <v>74</v>
      </c>
      <c r="Q7" s="42">
        <f>C6-C7</f>
        <v>8132</v>
      </c>
      <c r="R7" s="42">
        <f t="shared" ref="R7:R15" si="5">SUM(N7:Q7)</f>
        <v>8265</v>
      </c>
      <c r="S7" s="30">
        <f t="shared" ref="S7:S15" si="6">R7*((((N7*Q7)-(O7*P7))^2))</f>
        <v>157547066340</v>
      </c>
      <c r="T7" s="30">
        <f t="shared" ref="T7:T15" si="7">(N7+O7)*(P7+Q7)*(N7+P7)*(O7+Q7)</f>
        <v>293462200636</v>
      </c>
      <c r="U7" s="31">
        <f t="shared" ref="U7:U15" si="8">IF((S7&gt;0),S7/T7,"- -")</f>
        <v>0.5368564196634501</v>
      </c>
    </row>
    <row r="8" spans="2:21" ht="18" customHeight="1">
      <c r="B8" s="32" t="str">
        <f>'Data Entry'!A8</f>
        <v>3. Refer to Juvenile Court</v>
      </c>
      <c r="C8" s="33">
        <f>'Data Entry'!C8</f>
        <v>129</v>
      </c>
      <c r="D8" s="34">
        <f>IF((AND(C67&gt;0,C8&gt;0)),(C8/C67),0)</f>
        <v>174.32432432432432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129</v>
      </c>
      <c r="Q8" s="42">
        <f>(C$67*L67)-C8</f>
        <v>-55</v>
      </c>
      <c r="R8" s="42">
        <f t="shared" si="5"/>
        <v>74.050000000000011</v>
      </c>
      <c r="S8" s="30">
        <f t="shared" si="6"/>
        <v>3080.6651250000004</v>
      </c>
      <c r="T8" s="30">
        <f t="shared" si="7"/>
        <v>-26227.635000000002</v>
      </c>
      <c r="U8" s="31">
        <f t="shared" si="8"/>
        <v>-0.11745874628040234</v>
      </c>
    </row>
    <row r="9" spans="2:21" ht="18" customHeight="1">
      <c r="B9" s="32" t="str">
        <f>'Data Entry'!A9</f>
        <v xml:space="preserve">4. Cases Diverted </v>
      </c>
      <c r="C9" s="33">
        <f>'Data Entry'!C9</f>
        <v>21</v>
      </c>
      <c r="D9" s="34">
        <f>IF((AND(C68&gt;0,C9&gt;0)),((C9/C68)),0)</f>
        <v>16.279069767441861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21</v>
      </c>
      <c r="Q9" s="42">
        <f>(C$68*L68)-C9</f>
        <v>108</v>
      </c>
      <c r="R9" s="42">
        <f t="shared" si="5"/>
        <v>129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41.085271317829459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76</v>
      </c>
      <c r="R10" s="42">
        <f t="shared" si="5"/>
        <v>129</v>
      </c>
      <c r="S10" s="30">
        <f t="shared" si="6"/>
        <v>0</v>
      </c>
      <c r="T10" s="30">
        <f t="shared" si="7"/>
        <v>0</v>
      </c>
      <c r="U10" s="31" t="str">
        <f t="shared" si="8"/>
        <v>- -</v>
      </c>
    </row>
    <row r="11" spans="2:21" ht="18" customHeight="1">
      <c r="B11" s="32" t="str">
        <f>'Data Entry'!A11</f>
        <v>6. Cases Petitioned (Charge Filed)</v>
      </c>
      <c r="C11" s="33">
        <f>'Data Entry'!C11</f>
        <v>73</v>
      </c>
      <c r="D11" s="34">
        <f>IF(((AND(C68&gt;0,C11&gt;0))),(C11/(C68)),0)</f>
        <v>56.589147286821706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73</v>
      </c>
      <c r="Q11" s="42">
        <f>(C$68*L68)-C11</f>
        <v>56</v>
      </c>
      <c r="R11" s="42">
        <f t="shared" si="5"/>
        <v>129</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46.575342465753423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83</v>
      </c>
      <c r="D13" s="34">
        <f>IF(((AND(C70&gt;0,C13&gt;0))),(C13/(C70)),0)</f>
        <v>244.11764705882351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83</v>
      </c>
      <c r="Q13" s="42">
        <f>(C70*L70)-C13</f>
        <v>-49</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16</v>
      </c>
      <c r="D14" s="34">
        <f>IF(((AND(C70&gt;0,C14&gt;0))), ((C14/(C70))),0)</f>
        <v>47.058823529411761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16</v>
      </c>
      <c r="Q14" s="42">
        <f>(C70*L70)-C14</f>
        <v>18</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8.2059999999999995</v>
      </c>
      <c r="D42" s="56">
        <f>E6/1000</f>
        <v>5.8999999999999997E-2</v>
      </c>
      <c r="E42" s="56">
        <f>MAX(C42:D42)</f>
        <v>8.2059999999999995</v>
      </c>
      <c r="G42" s="1" t="str">
        <f>B42</f>
        <v>per 1000 youth</v>
      </c>
      <c r="L42" s="57">
        <v>1000</v>
      </c>
      <c r="M42" s="57"/>
      <c r="R42" s="49"/>
    </row>
    <row r="43" spans="2:18" ht="15" hidden="1" customHeight="1">
      <c r="B43" s="49" t="s">
        <v>87</v>
      </c>
      <c r="C43" s="56">
        <f>C7/100</f>
        <v>0.74</v>
      </c>
      <c r="D43" s="56">
        <f>E7/100</f>
        <v>0</v>
      </c>
      <c r="E43" s="56">
        <f>MAX(C43:D43,0)</f>
        <v>0.74</v>
      </c>
      <c r="G43" s="1" t="str">
        <f>B43</f>
        <v>per 100 arrests</v>
      </c>
      <c r="L43" s="57">
        <v>100</v>
      </c>
      <c r="M43" s="57"/>
      <c r="R43" s="49"/>
    </row>
    <row r="44" spans="2:18" ht="15" hidden="1" customHeight="1">
      <c r="B44" s="49" t="s">
        <v>88</v>
      </c>
      <c r="C44" s="56">
        <f>C8/100</f>
        <v>1.29</v>
      </c>
      <c r="D44" s="56">
        <f>E8/100</f>
        <v>0</v>
      </c>
      <c r="E44" s="56">
        <f>MAX(C44:D44,0)</f>
        <v>1.29</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8.2059999999999995</v>
      </c>
      <c r="D48" s="56">
        <f>D42</f>
        <v>5.8999999999999997E-2</v>
      </c>
      <c r="E48" s="56">
        <f>MAX(C48:D48)</f>
        <v>8.2059999999999995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0.74</v>
      </c>
      <c r="D49" s="49">
        <f t="shared" si="9"/>
        <v>0</v>
      </c>
      <c r="E49" s="49">
        <f>MAX(C49:D49)</f>
        <v>0.74</v>
      </c>
      <c r="G49" s="1" t="str">
        <f>G43</f>
        <v>per 100 arrests</v>
      </c>
      <c r="L49" s="58">
        <f>IF(($E43&gt;0),L43,L42)</f>
        <v>100</v>
      </c>
      <c r="M49" s="58"/>
      <c r="N49" s="21"/>
      <c r="O49" s="21"/>
      <c r="P49" s="21"/>
      <c r="Q49" s="21"/>
      <c r="R49" s="21"/>
    </row>
    <row r="50" spans="2:18" ht="15" hidden="1" customHeight="1">
      <c r="B50" s="49" t="str">
        <f t="shared" si="9"/>
        <v>per 100 referrals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8.2059999999999995</v>
      </c>
      <c r="D54" s="56">
        <f>D48</f>
        <v>5.8999999999999997E-2</v>
      </c>
      <c r="E54" s="56">
        <f>MAX(C54:D54)</f>
        <v>8.2059999999999995</v>
      </c>
      <c r="G54" s="1" t="str">
        <f>G48</f>
        <v>per 1000 youth</v>
      </c>
      <c r="L54" s="58">
        <f>L48</f>
        <v>1000</v>
      </c>
      <c r="M54" s="58"/>
    </row>
    <row r="55" spans="2:18" ht="15" hidden="1" customHeight="1">
      <c r="B55" s="49" t="str">
        <f t="shared" ref="B55:D56" si="10">IF(($E49&gt;0),B49,B48)</f>
        <v>per 100 arrests</v>
      </c>
      <c r="C55" s="49">
        <f t="shared" si="10"/>
        <v>0.74</v>
      </c>
      <c r="D55" s="49">
        <f t="shared" si="10"/>
        <v>0</v>
      </c>
      <c r="E55" s="49">
        <f>MAX(C55:D55)</f>
        <v>0.74</v>
      </c>
      <c r="G55" s="1" t="str">
        <f>G49</f>
        <v>per 100 arrests</v>
      </c>
      <c r="L55" s="58">
        <f>IF(($E49&gt;0),L49,L48)</f>
        <v>100</v>
      </c>
      <c r="M55" s="58"/>
    </row>
    <row r="56" spans="2:18" ht="15" hidden="1" customHeight="1">
      <c r="B56" s="49" t="str">
        <f t="shared" si="10"/>
        <v>per 100 referrals</v>
      </c>
      <c r="C56" s="49">
        <f t="shared" si="10"/>
        <v>1.29</v>
      </c>
      <c r="D56" s="49">
        <f t="shared" si="10"/>
        <v>0</v>
      </c>
      <c r="E56" s="49">
        <f>MAX(C56:D56)</f>
        <v>1.29</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8.2059999999999995</v>
      </c>
      <c r="D60" s="56">
        <f>D54</f>
        <v>5.8999999999999997E-2</v>
      </c>
      <c r="E60" s="56">
        <f>MAX(C60:D60)</f>
        <v>8.2059999999999995</v>
      </c>
      <c r="G60" s="1" t="str">
        <f>G54</f>
        <v>per 1000 youth</v>
      </c>
      <c r="L60" s="58">
        <f>L54</f>
        <v>1000</v>
      </c>
      <c r="M60" s="58"/>
    </row>
    <row r="61" spans="2:18" ht="15" hidden="1" customHeight="1">
      <c r="B61" s="49" t="str">
        <f t="shared" ref="B61:D62" si="11">IF(($E55&gt;0),B55,B54)</f>
        <v>per 100 arrests</v>
      </c>
      <c r="C61" s="49">
        <f t="shared" si="11"/>
        <v>0.74</v>
      </c>
      <c r="D61" s="49">
        <f t="shared" si="11"/>
        <v>0</v>
      </c>
      <c r="E61" s="49">
        <f>MAX(C61:D61)</f>
        <v>0.74</v>
      </c>
      <c r="G61" s="1" t="str">
        <f>G55</f>
        <v>per 100 arrests</v>
      </c>
      <c r="L61" s="58">
        <f>IF(($E55&gt;0),L55,L54)</f>
        <v>100</v>
      </c>
      <c r="M61" s="58"/>
    </row>
    <row r="62" spans="2:18" ht="15" hidden="1" customHeight="1">
      <c r="B62" s="49" t="str">
        <f t="shared" si="11"/>
        <v>per 100 referrals</v>
      </c>
      <c r="C62" s="49">
        <f t="shared" si="11"/>
        <v>1.29</v>
      </c>
      <c r="D62" s="49">
        <f t="shared" si="11"/>
        <v>0</v>
      </c>
      <c r="E62" s="49">
        <f>MAX(C62:D62)</f>
        <v>1.29</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8.2059999999999995</v>
      </c>
      <c r="D66" s="56">
        <f>D60</f>
        <v>5.8999999999999997E-2</v>
      </c>
      <c r="E66" s="56">
        <f>MAX(C66:D66)</f>
        <v>8.2059999999999995</v>
      </c>
      <c r="G66" s="1" t="str">
        <f>G60</f>
        <v>per 1000 youth</v>
      </c>
      <c r="L66" s="58">
        <f>L60</f>
        <v>1000</v>
      </c>
      <c r="M66" s="58">
        <f>IF((B66=G66),1,2)</f>
        <v>1</v>
      </c>
    </row>
    <row r="67" spans="2:13" ht="15" hidden="1" customHeight="1">
      <c r="B67" s="49" t="str">
        <f t="shared" ref="B67:D68" si="12">IF(($E61&gt;0),B61,B60)</f>
        <v>per 100 arrests</v>
      </c>
      <c r="C67" s="49">
        <f t="shared" si="12"/>
        <v>0.74</v>
      </c>
      <c r="D67" s="49">
        <f t="shared" si="12"/>
        <v>0</v>
      </c>
      <c r="E67" s="49">
        <f>MAX(C67:D67)</f>
        <v>0.74</v>
      </c>
      <c r="G67" s="1" t="str">
        <f>G61</f>
        <v>per 100 arrests</v>
      </c>
      <c r="L67" s="58">
        <f>IF(($E61&gt;0),L61,L60)</f>
        <v>100</v>
      </c>
      <c r="M67" s="58">
        <f>IF((B67=G67),1,2)</f>
        <v>1</v>
      </c>
    </row>
    <row r="68" spans="2:13" ht="15" hidden="1" customHeight="1">
      <c r="B68" s="49" t="str">
        <f t="shared" si="12"/>
        <v>per 100 referrals</v>
      </c>
      <c r="C68" s="49">
        <f t="shared" si="12"/>
        <v>1.29</v>
      </c>
      <c r="D68" s="49">
        <f t="shared" si="12"/>
        <v>0</v>
      </c>
      <c r="E68" s="49">
        <f>MAX(C68:D68)</f>
        <v>1.29</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U47JMPN4QEAR-1806752177-35327</_dlc_DocId>
    <_dlc_DocIdUrl xmlns="ac3811b5-0f3e-49e2-ba69-f2ffa0c782af">
      <Url>https://michiganphi.sharepoint.com/sites/CMDMC/_layouts/15/DocIdRedir.aspx?ID=U47JMPN4QEAR-1806752177-35327</Url>
      <Description>U47JMPN4QEAR-1806752177-35327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21E929-3371-4F98-838A-AB647A4FB3A1}">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2AC95E66-E49F-4DCF-95D4-8C476ED88459}"/>
</file>

<file path=customXml/itemProps3.xml><?xml version="1.0" encoding="utf-8"?>
<ds:datastoreItem xmlns:ds="http://schemas.openxmlformats.org/officeDocument/2006/customXml" ds:itemID="{A64746A0-A3AA-4C86-AB67-96F206207956}">
  <ds:schemaRefs>
    <ds:schemaRef ds:uri="http://schemas.microsoft.com/sharepoint/v3/contenttype/forms"/>
  </ds:schemaRefs>
</ds:datastoreItem>
</file>

<file path=customXml/itemProps4.xml><?xml version="1.0" encoding="utf-8"?>
<ds:datastoreItem xmlns:ds="http://schemas.openxmlformats.org/officeDocument/2006/customXml" ds:itemID="{07FE5D39-86A2-420D-9016-0358E680FE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41a2cb10-73e2-4aae-8f45-abc0adc9f98b</vt:lpwstr>
  </property>
</Properties>
</file>