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0" documentId="8_{1082D892-9982-464D-8C06-796B458DD553}" xr6:coauthVersionLast="47" xr6:coauthVersionMax="47" xr10:uidLastSave="{A1D42791-BBFA-4903-BE63-7D644A5918FB}"/>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c r="F27" i="2" s="1"/>
  <c r="J27" i="2"/>
  <c r="G42" i="2"/>
  <c r="G48" i="2"/>
  <c r="G54" i="2"/>
  <c r="G60" i="2"/>
  <c r="G66" i="2" s="1"/>
  <c r="M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c r="B66" i="3"/>
  <c r="J27" i="3"/>
  <c r="G42" i="3"/>
  <c r="G43" i="3"/>
  <c r="G49" i="3"/>
  <c r="G55" i="3"/>
  <c r="G61" i="3"/>
  <c r="G67" i="3" s="1"/>
  <c r="G44" i="3"/>
  <c r="G50" i="3" s="1"/>
  <c r="G56" i="3" s="1"/>
  <c r="G62" i="3" s="1"/>
  <c r="G68" i="3" s="1"/>
  <c r="G45" i="3"/>
  <c r="G46" i="3"/>
  <c r="G48" i="3"/>
  <c r="G54" i="3"/>
  <c r="G60" i="3"/>
  <c r="G66" i="3"/>
  <c r="L48" i="3"/>
  <c r="G51" i="3"/>
  <c r="G57" i="3" s="1"/>
  <c r="G63" i="3" s="1"/>
  <c r="G69" i="3" s="1"/>
  <c r="G52" i="3"/>
  <c r="G58" i="3"/>
  <c r="G64" i="3" s="1"/>
  <c r="G70" i="3" s="1"/>
  <c r="L54" i="3"/>
  <c r="L60" i="3"/>
  <c r="L66" i="3"/>
  <c r="F1" i="4"/>
  <c r="B2" i="4"/>
  <c r="B3" i="4"/>
  <c r="B6" i="4"/>
  <c r="B7" i="4"/>
  <c r="B8" i="4"/>
  <c r="B9" i="4"/>
  <c r="E9" i="4"/>
  <c r="N9" i="4" s="1"/>
  <c r="B10" i="4"/>
  <c r="B11" i="4"/>
  <c r="B12" i="4"/>
  <c r="B13" i="4"/>
  <c r="B14" i="4"/>
  <c r="B15" i="4"/>
  <c r="B48" i="4"/>
  <c r="B54" i="4"/>
  <c r="B60" i="4"/>
  <c r="B66" i="4"/>
  <c r="J27" i="4"/>
  <c r="G42" i="4"/>
  <c r="G48" i="4" s="1"/>
  <c r="G54" i="4" s="1"/>
  <c r="G60" i="4" s="1"/>
  <c r="G66" i="4" s="1"/>
  <c r="M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c r="F27" i="3"/>
  <c r="M66" i="3"/>
  <c r="M66" i="6" l="1"/>
  <c r="F27" i="6"/>
  <c r="M66" i="7"/>
  <c r="F27" i="7"/>
  <c r="M66" i="8"/>
  <c r="F27" i="8"/>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D49" i="6" s="1"/>
  <c r="E44" i="6"/>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D23" i="10"/>
  <c r="C48" i="7"/>
  <c r="E42" i="7"/>
  <c r="C54" i="8"/>
  <c r="E48" i="8"/>
  <c r="H26" i="10"/>
  <c r="D26" i="10"/>
  <c r="I26" i="10"/>
  <c r="C26" i="10"/>
  <c r="E20" i="10"/>
  <c r="C20" i="10"/>
  <c r="G20" i="10"/>
  <c r="H20" i="10"/>
  <c r="D20" i="10"/>
  <c r="G23" i="10"/>
  <c r="G19" i="10"/>
  <c r="E44" i="7"/>
  <c r="H23" i="10"/>
  <c r="E22" i="10"/>
  <c r="E25" i="10"/>
  <c r="F20" i="10"/>
  <c r="C49" i="6" l="1"/>
  <c r="E49" i="6" s="1"/>
  <c r="L49" i="6"/>
  <c r="B49" i="6"/>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7"/>
  <c r="E48" i="5"/>
  <c r="C54" i="5"/>
  <c r="C54" i="6"/>
  <c r="E48" i="6"/>
  <c r="B51" i="6"/>
  <c r="D51" i="6"/>
  <c r="C51" i="6"/>
  <c r="L51" i="6"/>
  <c r="D51" i="2" l="1"/>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5" i="5" l="1"/>
  <c r="D55" i="5"/>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E55" i="5"/>
  <c r="D61" i="5" s="1"/>
  <c r="C64" i="5"/>
  <c r="D64" i="5"/>
  <c r="L64" i="3"/>
  <c r="B56"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D64" i="3"/>
  <c r="C64" i="6"/>
  <c r="E62" i="4"/>
  <c r="C68" i="4"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B64" i="8"/>
  <c r="D64" i="8"/>
  <c r="L61" i="5"/>
  <c r="C61" i="5"/>
  <c r="E61" i="5" s="1"/>
  <c r="D67" i="5" s="1"/>
  <c r="B61" i="5"/>
  <c r="E64" i="5"/>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E64" i="8" l="1"/>
  <c r="B70" i="5"/>
  <c r="F33" i="5" s="1"/>
  <c r="C70" i="5"/>
  <c r="D70" i="5"/>
  <c r="F14" i="5" s="1"/>
  <c r="D63" i="8"/>
  <c r="B70" i="3"/>
  <c r="M70" i="3" s="1"/>
  <c r="D70" i="6"/>
  <c r="F13" i="6" s="1"/>
  <c r="L69" i="7"/>
  <c r="C69" i="7"/>
  <c r="D12" i="7" s="1"/>
  <c r="E63" i="3"/>
  <c r="C69" i="3" s="1"/>
  <c r="D12" i="3" s="1"/>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5" l="1"/>
  <c r="F14" i="3"/>
  <c r="D15" i="3"/>
  <c r="B69" i="6"/>
  <c r="M69" i="6" s="1"/>
  <c r="F14" i="6"/>
  <c r="E63" i="8"/>
  <c r="D69" i="8" s="1"/>
  <c r="F15" i="8" s="1"/>
  <c r="F34" i="3"/>
  <c r="L69" i="3"/>
  <c r="Q12" i="3" s="1"/>
  <c r="F33" i="3"/>
  <c r="Q12" i="7"/>
  <c r="Q13" i="8"/>
  <c r="E70" i="6"/>
  <c r="O14" i="6"/>
  <c r="D13" i="3"/>
  <c r="E69" i="7"/>
  <c r="B69" i="3"/>
  <c r="M69" i="3" s="1"/>
  <c r="D15" i="7"/>
  <c r="Q15" i="7"/>
  <c r="D69" i="3"/>
  <c r="E69" i="3" s="1"/>
  <c r="E70" i="3"/>
  <c r="O13" i="6"/>
  <c r="O13" i="3"/>
  <c r="D13" i="6"/>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5" i="3" l="1"/>
  <c r="F32" i="3"/>
  <c r="K13" i="3"/>
  <c r="F32" i="6"/>
  <c r="F35" i="6"/>
  <c r="R14" i="3"/>
  <c r="S14" i="3" s="1"/>
  <c r="U14" i="3" s="1"/>
  <c r="J14" i="3" s="1"/>
  <c r="M14" i="3" s="1"/>
  <c r="G14" i="3" s="1"/>
  <c r="I15" i="16" s="1"/>
  <c r="C69" i="8"/>
  <c r="E69" i="8" s="1"/>
  <c r="L69" i="8"/>
  <c r="O15" i="8" s="1"/>
  <c r="F12" i="8"/>
  <c r="B69" i="8"/>
  <c r="M69" i="8" s="1"/>
  <c r="R12" i="7"/>
  <c r="S12" i="7" s="1"/>
  <c r="T12" i="7"/>
  <c r="O12" i="3"/>
  <c r="R12" i="3" s="1"/>
  <c r="S12" i="3" s="1"/>
  <c r="F12" i="3"/>
  <c r="R13" i="8"/>
  <c r="S13" i="8" s="1"/>
  <c r="U13" i="8" s="1"/>
  <c r="J13" i="8" s="1"/>
  <c r="M13" i="8" s="1"/>
  <c r="G13" i="8" s="1"/>
  <c r="K14" i="16" s="1"/>
  <c r="O15" i="3"/>
  <c r="R15" i="3" s="1"/>
  <c r="S15" i="3" s="1"/>
  <c r="U15" i="3" s="1"/>
  <c r="J15" i="3" s="1"/>
  <c r="M15" i="3" s="1"/>
  <c r="G15" i="3" s="1"/>
  <c r="I16" i="16" s="1"/>
  <c r="F15" i="3"/>
  <c r="O12" i="6"/>
  <c r="T15" i="7"/>
  <c r="K12" i="7"/>
  <c r="R15" i="7"/>
  <c r="S15" i="7" s="1"/>
  <c r="U15" i="7" s="1"/>
  <c r="J15" i="7" s="1"/>
  <c r="M15" i="7" s="1"/>
  <c r="T14" i="6"/>
  <c r="R14" i="6"/>
  <c r="S14" i="6" s="1"/>
  <c r="U14" i="6" s="1"/>
  <c r="J14" i="6" s="1"/>
  <c r="M14" i="6" s="1"/>
  <c r="G14" i="6" s="1"/>
  <c r="M15" i="13" s="1"/>
  <c r="T13" i="6"/>
  <c r="K13" i="6"/>
  <c r="R13" i="6"/>
  <c r="S13" i="6" s="1"/>
  <c r="U13" i="6" s="1"/>
  <c r="J13" i="6" s="1"/>
  <c r="M13" i="6" s="1"/>
  <c r="G13" i="6" s="1"/>
  <c r="M14" i="13" s="1"/>
  <c r="R14" i="8"/>
  <c r="S14" i="8" s="1"/>
  <c r="F35" i="3"/>
  <c r="K14" i="6"/>
  <c r="D15" i="6"/>
  <c r="T13" i="8"/>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E14" i="9" l="1"/>
  <c r="N30" i="3"/>
  <c r="T15" i="3"/>
  <c r="K15" i="3"/>
  <c r="L15" i="3" s="1"/>
  <c r="P16" i="16" s="1"/>
  <c r="K12" i="3"/>
  <c r="L14" i="3"/>
  <c r="P15" i="16" s="1"/>
  <c r="D12" i="8"/>
  <c r="D15" i="8"/>
  <c r="I15" i="13"/>
  <c r="U12" i="7"/>
  <c r="J12" i="7" s="1"/>
  <c r="M12" i="7" s="1"/>
  <c r="T12" i="3"/>
  <c r="U12" i="3" s="1"/>
  <c r="J12" i="3" s="1"/>
  <c r="M12" i="3" s="1"/>
  <c r="G12" i="3" s="1"/>
  <c r="I13" i="16" s="1"/>
  <c r="Q12" i="8"/>
  <c r="O12" i="8"/>
  <c r="Q15" i="8"/>
  <c r="R15" i="8" s="1"/>
  <c r="S15" i="8" s="1"/>
  <c r="F32" i="8"/>
  <c r="F35" i="8"/>
  <c r="Q14" i="13"/>
  <c r="L13" i="8"/>
  <c r="T14" i="16" s="1"/>
  <c r="T12" i="6"/>
  <c r="I13" i="9"/>
  <c r="L13" i="3"/>
  <c r="P14" i="16" s="1"/>
  <c r="L15" i="7"/>
  <c r="S16" i="16" s="1"/>
  <c r="L13" i="6"/>
  <c r="R14" i="16" s="1"/>
  <c r="G13" i="9"/>
  <c r="U14" i="8"/>
  <c r="J14" i="8" s="1"/>
  <c r="N30" i="8" s="1"/>
  <c r="K15" i="6"/>
  <c r="K12" i="6"/>
  <c r="R12" i="6"/>
  <c r="S12" i="6" s="1"/>
  <c r="U12" i="6" s="1"/>
  <c r="J12" i="6" s="1"/>
  <c r="M12" i="6" s="1"/>
  <c r="G12" i="6" s="1"/>
  <c r="R15" i="6"/>
  <c r="S15" i="6" s="1"/>
  <c r="U15" i="6" s="1"/>
  <c r="J15" i="6" s="1"/>
  <c r="T15" i="6"/>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U11" i="7" s="1"/>
  <c r="J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L12" i="3" l="1"/>
  <c r="P13" i="16" s="1"/>
  <c r="V15" i="13"/>
  <c r="N14" i="9"/>
  <c r="K12" i="8"/>
  <c r="L12" i="7"/>
  <c r="S13" i="16" s="1"/>
  <c r="U10" i="7"/>
  <c r="J10" i="7" s="1"/>
  <c r="L10" i="7" s="1"/>
  <c r="S11" i="16" s="1"/>
  <c r="T12" i="8"/>
  <c r="V14" i="13"/>
  <c r="R12" i="8"/>
  <c r="S12" i="8" s="1"/>
  <c r="K15" i="8"/>
  <c r="N13" i="9"/>
  <c r="T15" i="8"/>
  <c r="U15" i="8" s="1"/>
  <c r="J15" i="8" s="1"/>
  <c r="M15" i="8" s="1"/>
  <c r="G15" i="8" s="1"/>
  <c r="K16" i="16" s="1"/>
  <c r="R13" i="9"/>
  <c r="Z14" i="13"/>
  <c r="Y16" i="13"/>
  <c r="Q15" i="9"/>
  <c r="U14" i="2"/>
  <c r="J14" i="2" s="1"/>
  <c r="M14" i="2" s="1"/>
  <c r="G14" i="2" s="1"/>
  <c r="E15" i="16" s="1"/>
  <c r="X14" i="13"/>
  <c r="P13" i="9"/>
  <c r="L14" i="8"/>
  <c r="T15" i="16" s="1"/>
  <c r="L12" i="6"/>
  <c r="R13" i="16" s="1"/>
  <c r="L15" i="6"/>
  <c r="R16" i="16" s="1"/>
  <c r="M14" i="8"/>
  <c r="G14" i="8" s="1"/>
  <c r="K15" i="16" s="1"/>
  <c r="M15" i="6"/>
  <c r="G15" i="6" s="1"/>
  <c r="M16" i="13"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L15" i="8" l="1"/>
  <c r="T16" i="16" s="1"/>
  <c r="Q12" i="9"/>
  <c r="Y13" i="13"/>
  <c r="M10" i="7"/>
  <c r="U12" i="8"/>
  <c r="J12" i="8" s="1"/>
  <c r="M12" i="8" s="1"/>
  <c r="G12" i="8" s="1"/>
  <c r="K13" i="16" s="1"/>
  <c r="L14" i="2"/>
  <c r="N15" i="16" s="1"/>
  <c r="G15" i="9"/>
  <c r="N30" i="2"/>
  <c r="P15" i="9"/>
  <c r="E15" i="13"/>
  <c r="C14" i="9"/>
  <c r="X13" i="13"/>
  <c r="Z15" i="13"/>
  <c r="R14" i="9"/>
  <c r="P12" i="9"/>
  <c r="I14" i="9"/>
  <c r="Q15" i="13"/>
  <c r="X16"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5" i="13" l="1"/>
  <c r="Q13" i="13"/>
  <c r="I12" i="9"/>
  <c r="L12" i="8"/>
  <c r="T13" i="16" s="1"/>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<sst xmlns="http://schemas.openxmlformats.org/spreadsheetml/2006/main" count="654" uniqueCount="141">
  <si>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</si>
  <si>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</si>
  <si>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</si>
  <si>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</si>
  <si>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</si>
  <si>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</si>
  <si>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</si>
  <si>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</si>
  <si>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</si>
  <si>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</si>
  <si>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</si>
  <si>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</si>
  <si>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</si>
  <si>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</si>
  <si>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</si>
  <si>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</si>
  <si>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</si>
  <si>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</si>
  <si>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</si>
  <si>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</si>
  <si>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</si>
  <si>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</si>
  <si>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</si>
  <si>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</si>
  <si>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</si>
  <si>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</si>
  <si>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</si>
  <si>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</si>
  <si>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</si>
  <si>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</si>
  <si>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</si>
  <si>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</si>
  <si>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</si>
  <si>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</si>
  <si>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</si>
  <si>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</si>
  <si>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</si>
  <si>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</si>
  <si>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</si>
  <si>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</si>
  <si>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</si>
  <si>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</si>
  <si>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</si>
  <si>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</si>
  <si>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</si>
  <si>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</si>
  <si>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</si>
  <si>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</si>
  <si>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</si>
  <si>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</si>
  <si>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</si>
  <si>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</si>
  <si>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</si>
  <si>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</si>
  <si>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</si>
  <si>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</si>
  <si>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</si>
  <si>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</si>
  <si>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</si>
  <si>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</si>
  <si>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</si>
  <si>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</si>
  <si>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</si>
  <si>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</si>
  <si>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</si>
  <si>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</si>
  <si>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</si>
  <si>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</si>
  <si>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</si>
  <si>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</si>
  <si>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</si>
  <si>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</si>
  <si>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</si>
  <si>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</si>
  <si>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</si>
  <si>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</si>
  <si>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</si>
  <si>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</si>
  <si>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</si>
  <si>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</si>
  <si>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</si>
  <si>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</si>
  <si>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</si>
  <si>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</si>
  <si>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</si>
  <si>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</si>
  <si>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</si>
  <si>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</si>
  <si>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</si>
  <si>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</si>
  <si>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</si>
  <si>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</si>
  <si>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</si>
  <si>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</si>
  <si>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</si>
  <si>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</si>
  <si>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</si>
  <si>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</si>
  <si>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</si>
  <si>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</si>
  <si>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</si>
  <si>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</si>
  <si>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</si>
  <si>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</si>
  <si>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</si>
  <si>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</si>
  <si>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</si>
  <si>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</si>
  <si>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</si>
  <si>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</si>
  <si>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</si>
  <si>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</si>
  <si>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</si>
  <si>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</si>
  <si>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</si>
  <si>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</si>
  <si>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</si>
  <si>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</si>
  <si>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</si>
  <si>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</si>
  <si>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</si>
  <si>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</si>
  <si>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</si>
  <si>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</si>
  <si>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</si>
  <si>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</si>
  <si>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</si>
  <si>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</si>
  <si>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</si>
  <si>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</si>
  <si>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</si>
  <si>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</si>
  <si>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</si>
  <si>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</si>
  <si>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</si>
  <si>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</si>
  <si>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Barry</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</si>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</sst>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Barry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N=7</c:v>
                </c:pt>
                <c:pt idx="2">
                  <c:v>Delinquent Findings, total N=26</c:v>
                </c:pt>
                <c:pt idx="3">
                  <c:v>Petitions, total N=47</c:v>
                </c:pt>
                <c:pt idx="4">
                  <c:v>Detentions, total N=0</c:v>
                </c:pt>
                <c:pt idx="5">
                  <c:v>Referrals, total N=70</c:v>
                </c:pt>
                <c:pt idx="6">
                  <c:v>Arrests, total N=27</c:v>
                </c:pt>
                <c:pt idx="7">
                  <c:v>Population, total N=6382</c:v>
                </c:pt>
              </c:strCache>
            </c:strRef>
          </c:cat>
          <c:val>
            <c:numRef>
              <c:f>'Stacked 100%'!$B$7:$B$14</c:f>
              <c:numCache>
                <c:formatCode>0%</c:formatCode>
                <c:ptCount val="8"/>
                <c:pt idx="0">
                  <c:v>1</c:v>
                </c:pt>
                <c:pt idx="1">
                  <c:v>0</c:v>
                </c:pt>
                <c:pt idx="2">
                  <c:v>0</c:v>
                </c:pt>
                <c:pt idx="3">
                  <c:v>2.1276595744680851E-2</c:v>
                </c:pt>
                <c:pt idx="4">
                  <c:v>0</c:v>
                </c:pt>
                <c:pt idx="5">
                  <c:v>8.5714285714285715E-2</c:v>
                </c:pt>
                <c:pt idx="6">
                  <c:v>3.7037037037037035E-2</c:v>
                </c:pt>
                <c:pt idx="7">
                  <c:v>2.0996552804763396E-2</c:v>
                </c:pt>
              </c:numCache>
            </c:numRef>
          </c:val>
          <c:extLst>
            <c:ext xmlns:c16="http://schemas.microsoft.com/office/drawing/2014/chart" uri="{C3380CC4-5D6E-409C-BE32-E72D297353CC}">
              <c16:uniqueId val="{00000000-8E0A-47AB-9857-9DAAED97985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N=7</c:v>
                </c:pt>
                <c:pt idx="2">
                  <c:v>Delinquent Findings, total N=26</c:v>
                </c:pt>
                <c:pt idx="3">
                  <c:v>Petitions, total N=47</c:v>
                </c:pt>
                <c:pt idx="4">
                  <c:v>Detentions, total N=0</c:v>
                </c:pt>
                <c:pt idx="5">
                  <c:v>Referrals, total N=70</c:v>
                </c:pt>
                <c:pt idx="6">
                  <c:v>Arrests, total N=27</c:v>
                </c:pt>
                <c:pt idx="7">
                  <c:v>Population, total N=6382</c:v>
                </c:pt>
              </c:strCache>
            </c:strRef>
          </c:cat>
          <c:val>
            <c:numRef>
              <c:f>'Stacked 100%'!$C$7:$C$14</c:f>
              <c:numCache>
                <c:formatCode>0%</c:formatCode>
                <c:ptCount val="8"/>
                <c:pt idx="0">
                  <c:v>0</c:v>
                </c:pt>
                <c:pt idx="1">
                  <c:v>0</c:v>
                </c:pt>
                <c:pt idx="2">
                  <c:v>3.8461538461538464E-2</c:v>
                </c:pt>
                <c:pt idx="3">
                  <c:v>2.1276595744680851E-2</c:v>
                </c:pt>
                <c:pt idx="4">
                  <c:v>0</c:v>
                </c:pt>
                <c:pt idx="5">
                  <c:v>1.4285714285714285E-2</c:v>
                </c:pt>
                <c:pt idx="6">
                  <c:v>0</c:v>
                </c:pt>
                <c:pt idx="7">
                  <c:v>5.0611093701034157E-2</c:v>
                </c:pt>
              </c:numCache>
            </c:numRef>
          </c:val>
          <c:extLst>
            <c:ext xmlns:c16="http://schemas.microsoft.com/office/drawing/2014/chart" uri="{C3380CC4-5D6E-409C-BE32-E72D297353CC}">
              <c16:uniqueId val="{00000001-8E0A-47AB-9857-9DAAED97985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N=7</c:v>
                </c:pt>
                <c:pt idx="2">
                  <c:v>Delinquent Findings, total N=26</c:v>
                </c:pt>
                <c:pt idx="3">
                  <c:v>Petitions, total N=47</c:v>
                </c:pt>
                <c:pt idx="4">
                  <c:v>Detentions, total N=0</c:v>
                </c:pt>
                <c:pt idx="5">
                  <c:v>Referrals, total N=70</c:v>
                </c:pt>
                <c:pt idx="6">
                  <c:v>Arrests, total N=27</c:v>
                </c:pt>
                <c:pt idx="7">
                  <c:v>Population, total N=6382</c:v>
                </c:pt>
              </c:strCache>
            </c:strRef>
          </c:cat>
          <c:val>
            <c:numRef>
              <c:f>'Stacked 100%'!$H$7:$H$14</c:f>
              <c:numCache>
                <c:formatCode>0%</c:formatCode>
                <c:ptCount val="8"/>
                <c:pt idx="0">
                  <c:v>0</c:v>
                </c:pt>
                <c:pt idx="1">
                  <c:v>0</c:v>
                </c:pt>
                <c:pt idx="2">
                  <c:v>1.4792899408284025E-3</c:v>
                </c:pt>
                <c:pt idx="3">
                  <c:v>9.0538705296514259E-4</c:v>
                </c:pt>
                <c:pt idx="4">
                  <c:v>0</c:v>
                </c:pt>
                <c:pt idx="5">
                  <c:v>4.0816326530612241E-4</c:v>
                </c:pt>
                <c:pt idx="6">
                  <c:v>0</c:v>
                </c:pt>
                <c:pt idx="7">
                  <c:v>1.8168460122832539E-6</c:v>
                </c:pt>
              </c:numCache>
            </c:numRef>
          </c:val>
          <c:extLst>
            <c:ext xmlns:c16="http://schemas.microsoft.com/office/drawing/2014/chart" uri="{C3380CC4-5D6E-409C-BE32-E72D297353CC}">
              <c16:uniqueId val="{00000002-8E0A-47AB-9857-9DAAED97985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N=7</c:v>
                </c:pt>
                <c:pt idx="2">
                  <c:v>Delinquent Findings, total N=26</c:v>
                </c:pt>
                <c:pt idx="3">
                  <c:v>Petitions, total N=47</c:v>
                </c:pt>
                <c:pt idx="4">
                  <c:v>Detentions, total N=0</c:v>
                </c:pt>
                <c:pt idx="5">
                  <c:v>Referrals, total N=70</c:v>
                </c:pt>
                <c:pt idx="6">
                  <c:v>Arrests, total N=27</c:v>
                </c:pt>
                <c:pt idx="7">
                  <c:v>Population, total N=6382</c:v>
                </c:pt>
              </c:strCache>
            </c:strRef>
          </c:cat>
          <c:val>
            <c:numRef>
              <c:f>'Stacked 100%'!$I$7:$I$14</c:f>
              <c:numCache>
                <c:formatCode>0%</c:formatCode>
                <c:ptCount val="8"/>
                <c:pt idx="0">
                  <c:v>0</c:v>
                </c:pt>
                <c:pt idx="1">
                  <c:v>1</c:v>
                </c:pt>
                <c:pt idx="2">
                  <c:v>0.92307692307692313</c:v>
                </c:pt>
                <c:pt idx="3">
                  <c:v>0.91489361702127658</c:v>
                </c:pt>
                <c:pt idx="4">
                  <c:v>0</c:v>
                </c:pt>
                <c:pt idx="5">
                  <c:v>0.8571428571428571</c:v>
                </c:pt>
                <c:pt idx="6">
                  <c:v>0.96296296296296291</c:v>
                </c:pt>
                <c:pt idx="7">
                  <c:v>0.91679724224381076</c:v>
                </c:pt>
              </c:numCache>
            </c:numRef>
          </c:val>
          <c:extLst>
            <c:ext xmlns:c16="http://schemas.microsoft.com/office/drawing/2014/chart" uri="{C3380CC4-5D6E-409C-BE32-E72D297353CC}">
              <c16:uniqueId val="{00000003-8E0A-47AB-9857-9DAAED97985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N=7</c:v>
                </c:pt>
                <c:pt idx="2">
                  <c:v>Delinquent Findings, total N=26</c:v>
                </c:pt>
                <c:pt idx="3">
                  <c:v>Petitions, total N=47</c:v>
                </c:pt>
                <c:pt idx="4">
                  <c:v>Detentions, total N=0</c:v>
                </c:pt>
                <c:pt idx="5">
                  <c:v>Referrals, total N=70</c:v>
                </c:pt>
                <c:pt idx="6">
                  <c:v>Arrests, total N=27</c:v>
                </c:pt>
                <c:pt idx="7">
                  <c:v>Population, total N=6382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E0A-47AB-9857-9DAAED97985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6382</v>
      </c>
      <c r="C6" s="11">
        <v>5851</v>
      </c>
      <c r="D6" s="11">
        <v>134</v>
      </c>
      <c r="E6" s="11">
        <v>323</v>
      </c>
      <c r="F6" s="11">
        <v>36</v>
      </c>
      <c r="G6" s="11"/>
      <c r="H6" s="11">
        <v>38</v>
      </c>
      <c r="I6" s="11"/>
      <c r="J6" s="91">
        <f>SUM(D6:I6)</f>
        <v>531</v>
      </c>
      <c r="K6" s="92"/>
    </row>
    <row r="7" spans="1:11" ht="15.75" customHeight="1" thickBot="1">
      <c r="A7" s="10" t="s">
        <v>8</v>
      </c>
      <c r="B7" s="11">
        <f t="shared" ref="B7:B15" si="0">SUM(C7:I7)+K7</f>
        <v>27</v>
      </c>
      <c r="C7" s="11">
        <v>26</v>
      </c>
      <c r="D7" s="11">
        <v>1</v>
      </c>
      <c r="E7" s="11"/>
      <c r="F7" s="11"/>
      <c r="G7" s="11"/>
      <c r="H7" s="11"/>
      <c r="I7" s="11"/>
      <c r="J7" s="91">
        <f t="shared" ref="J7:J15" si="1">SUM(D7:I7)</f>
        <v>1</v>
      </c>
      <c r="K7" s="92"/>
    </row>
    <row r="8" spans="1:11" ht="15.75" customHeight="1" thickBot="1">
      <c r="A8" s="10" t="s">
        <v>9</v>
      </c>
      <c r="B8" s="11">
        <f t="shared" si="0"/>
        <v>70</v>
      </c>
      <c r="C8" s="11">
        <v>60</v>
      </c>
      <c r="D8" s="11">
        <v>6</v>
      </c>
      <c r="E8" s="11">
        <v>1</v>
      </c>
      <c r="F8" s="11">
        <v>1</v>
      </c>
      <c r="G8" s="11"/>
      <c r="H8" s="11"/>
      <c r="I8" s="11">
        <v>1</v>
      </c>
      <c r="J8" s="91">
        <f t="shared" si="1"/>
        <v>9</v>
      </c>
      <c r="K8" s="92">
        <v>1</v>
      </c>
    </row>
    <row r="9" spans="1:11" ht="15.75" customHeight="1" thickBot="1">
      <c r="A9" s="10" t="s">
        <v>10</v>
      </c>
      <c r="B9" s="11">
        <f t="shared" si="0"/>
        <v>3</v>
      </c>
      <c r="C9" s="11">
        <v>3</v>
      </c>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47</v>
      </c>
      <c r="C11" s="11">
        <v>43</v>
      </c>
      <c r="D11" s="11">
        <v>1</v>
      </c>
      <c r="E11" s="11">
        <v>1</v>
      </c>
      <c r="F11" s="11">
        <v>1</v>
      </c>
      <c r="G11" s="11"/>
      <c r="H11" s="11"/>
      <c r="I11" s="11">
        <v>1</v>
      </c>
      <c r="J11" s="91">
        <f t="shared" si="1"/>
        <v>4</v>
      </c>
      <c r="K11" s="92"/>
    </row>
    <row r="12" spans="1:11" ht="15.75" customHeight="1" thickBot="1">
      <c r="A12" s="10" t="s">
        <v>13</v>
      </c>
      <c r="B12" s="11">
        <f t="shared" si="0"/>
        <v>26</v>
      </c>
      <c r="C12" s="11">
        <v>24</v>
      </c>
      <c r="D12" s="11"/>
      <c r="E12" s="11">
        <v>1</v>
      </c>
      <c r="F12" s="11">
        <v>1</v>
      </c>
      <c r="G12" s="11"/>
      <c r="H12" s="11"/>
      <c r="I12" s="11"/>
      <c r="J12" s="91">
        <f t="shared" si="1"/>
        <v>2</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7</v>
      </c>
      <c r="C14" s="11">
        <v>7</v>
      </c>
      <c r="D14" s="11"/>
      <c r="E14" s="11"/>
      <c r="F14" s="11"/>
      <c r="G14" s="11"/>
      <c r="H14" s="11"/>
      <c r="I14" s="11"/>
      <c r="J14" s="91">
        <f t="shared" si="1"/>
        <v>0</v>
      </c>
      <c r="K14" s="92"/>
    </row>
    <row r="15" spans="1:11" ht="15.75" customHeight="1" thickBot="1">
      <c r="A15" s="10" t="s">
        <v>16</v>
      </c>
      <c r="B15" s="11">
        <f t="shared" si="0"/>
        <v>1</v>
      </c>
      <c r="C15" s="11"/>
      <c r="D15" s="11">
        <v>1</v>
      </c>
      <c r="E15" s="11"/>
      <c r="F15" s="11"/>
      <c r="G15" s="11"/>
      <c r="H15" s="11"/>
      <c r="I15" s="11"/>
      <c r="J15" s="91">
        <f t="shared" si="1"/>
        <v>1</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5851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4.4436848401982569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26</v>
      </c>
      <c r="Q7" s="42">
        <f>C6-C7</f>
        <v>5825</v>
      </c>
      <c r="R7" s="42">
        <f t="shared" ref="R7:R15" si="5">SUM(N7:Q7)</f>
        <v>5851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60</v>
      </c>
      <c r="D8" s="34">
        <f>IF((AND(C67&gt;0,C8&gt;0)),(C8/C67),0)</f>
        <v>230.76923076923077</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60</v>
      </c>
      <c r="Q8" s="42">
        <f>(C$67*L67)-C8</f>
        <v>-34</v>
      </c>
      <c r="R8" s="42">
        <f t="shared" si="5"/>
        <v>26.049999999999997</v>
      </c>
      <c r="S8" s="30">
        <f t="shared" si="6"/>
        <v>13780.449999999999</v>
      </c>
      <c r="T8" s="30">
        <f t="shared" si="7"/>
        <v>-2771.5350000000026</v>
      </c>
      <c r="U8" s="31">
        <f t="shared" si="8"/>
        <v>-4.9721363792988313</v>
      </c>
    </row>
    <row r="9" spans="2:21" ht="18" customHeight="1">
      <c r="B9" s="32" t="str">
        <f>'Data Entry'!A9</f>
        <v xml:space="preserve">4. Cases Diverted </v>
      </c>
      <c r="C9" s="33">
        <f>'Data Entry'!C9</f>
        <v>3</v>
      </c>
      <c r="D9" s="34">
        <f>IF((AND(C68&gt;0,C9&gt;0)),((C9/C68)),0)</f>
        <v>5</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3</v>
      </c>
      <c r="Q9" s="42">
        <f>(C$68*L68)-C9</f>
        <v>57</v>
      </c>
      <c r="R9" s="42">
        <f t="shared" si="5"/>
        <v>61</v>
      </c>
      <c r="S9" s="30">
        <f t="shared" si="6"/>
        <v>549</v>
      </c>
      <c r="T9" s="30">
        <f t="shared" si="7"/>
        <v>10440</v>
      </c>
      <c r="U9" s="31">
        <f t="shared" si="8"/>
        <v>5.2586206896551725E-2</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60</v>
      </c>
      <c r="R10" s="42">
        <f t="shared" si="5"/>
        <v>61</v>
      </c>
      <c r="S10" s="30">
        <f t="shared" si="6"/>
        <v>0</v>
      </c>
      <c r="T10" s="30">
        <f t="shared" si="7"/>
        <v>0</v>
      </c>
      <c r="U10" s="31" t="str">
        <f t="shared" si="8"/>
        <v>- -</v>
      </c>
    </row>
    <row r="11" spans="2:21" ht="18" customHeight="1">
      <c r="B11" s="32" t="str">
        <f>'Data Entry'!A11</f>
        <v>6. Cases Petitioned (Charge Filed)</v>
      </c>
      <c r="C11" s="33">
        <f>'Data Entry'!C11</f>
        <v>43</v>
      </c>
      <c r="D11" s="34">
        <f>IF(((AND(C68&gt;0,C11&gt;0))),(C11/(C68)),0)</f>
        <v>71.666666666666671</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43</v>
      </c>
      <c r="Q11" s="42">
        <f>(C$68*L68)-C11</f>
        <v>17</v>
      </c>
      <c r="R11" s="42">
        <f t="shared" si="5"/>
        <v>61</v>
      </c>
      <c r="S11" s="30">
        <f t="shared" si="6"/>
        <v>17629</v>
      </c>
      <c r="T11" s="30">
        <f t="shared" si="7"/>
        <v>44880</v>
      </c>
      <c r="U11" s="31">
        <f t="shared" si="8"/>
        <v>0.39280303030303032</v>
      </c>
    </row>
    <row r="12" spans="2:21" ht="18" customHeight="1">
      <c r="B12" s="32" t="str">
        <f>'Data Entry'!A12</f>
        <v>7. Cases Resulting in Delinquent Findings</v>
      </c>
      <c r="C12" s="33">
        <f>'Data Entry'!C12</f>
        <v>24</v>
      </c>
      <c r="D12" s="34">
        <f>IF(((AND(C69&gt;0,C12&gt;0))),(C12/(C69)),0)</f>
        <v>55.813953488372093</v>
      </c>
      <c r="E12" s="33">
        <f>'Data Entry'!I12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1</v>
      </c>
      <c r="P12" s="42">
        <f t="shared" si="4"/>
        <v>24</v>
      </c>
      <c r="Q12" s="42">
        <f>(C69*L69)-C12</f>
        <v>19</v>
      </c>
      <c r="R12" s="42">
        <f t="shared" si="5"/>
        <v>44</v>
      </c>
      <c r="S12" s="30">
        <f t="shared" si="6"/>
        <v>25344</v>
      </c>
      <c r="T12" s="30">
        <f t="shared" si="7"/>
        <v>20640</v>
      </c>
      <c r="U12" s="31">
        <f t="shared" si="8"/>
        <v>1.2279069767441861</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24</v>
      </c>
      <c r="R13" s="42">
        <f t="shared" si="5"/>
        <v>24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29.166666666666668</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17</v>
      </c>
      <c r="R14" s="42">
        <f t="shared" si="5"/>
        <v>24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43</v>
      </c>
      <c r="R15" s="42">
        <f t="shared" si="5"/>
        <v>44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5.851</v>
      </c>
      <c r="D42" s="56">
        <f>E6/1000</f>
        <v>0</v>
      </c>
      <c r="E42" s="56">
        <f>MAX(C42:D42)</f>
        <v>5.851</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0.6</v>
      </c>
      <c r="D44" s="56">
        <f>E8/100</f>
        <v>0.01</v>
      </c>
      <c r="E44" s="56">
        <f>MAX(C44:D44,0)</f>
        <v>0.6</v>
      </c>
      <c r="G44" s="1" t="str">
        <f>B44</f>
        <v>per 100 referrals</v>
      </c>
      <c r="L44" s="57">
        <v>100</v>
      </c>
      <c r="M44" s="57"/>
      <c r="R44" s="49"/>
    </row>
    <row r="45" spans="2:18" ht="15" hidden="1" customHeight="1">
      <c r="B45" s="49" t="s">
        <v>89</v>
      </c>
      <c r="C45" s="49">
        <f>C11/100</f>
        <v>0.43</v>
      </c>
      <c r="D45" s="49">
        <f>E11/100</f>
        <v>0.01</v>
      </c>
      <c r="E45" s="56">
        <f>MAX(C45:D45,0)</f>
        <v>0.43</v>
      </c>
      <c r="G45" s="1" t="str">
        <f>B45</f>
        <v>per 100 youth petitioned</v>
      </c>
      <c r="L45" s="57">
        <v>100</v>
      </c>
      <c r="M45" s="57"/>
      <c r="R45" s="49"/>
    </row>
    <row r="46" spans="2:18" ht="15" hidden="1" customHeight="1">
      <c r="B46" s="49" t="s">
        <v>90</v>
      </c>
      <c r="C46" s="49">
        <f>C12/100</f>
        <v>0.24</v>
      </c>
      <c r="D46" s="49">
        <f>E12/100</f>
        <v>0</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5.851</v>
      </c>
      <c r="D48" s="56">
        <f>D42</f>
        <v>0</v>
      </c>
      <c r="E48" s="56">
        <f>MAX(C48:D48)</f>
        <v>5.851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0.01</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0.43</v>
      </c>
      <c r="D51" s="49">
        <f>IF(($E45&gt;0),D45,D44)</f>
        <v>0.01</v>
      </c>
      <c r="E51" s="49">
        <f>MAX(C51:D51)</f>
        <v>0.43</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5.851</v>
      </c>
      <c r="D54" s="56">
        <f>D48</f>
        <v>0</v>
      </c>
      <c r="E54" s="56">
        <f>MAX(C54:D54)</f>
        <v>5.851</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referrals</v>
      </c>
      <c r="C56" s="49">
        <f t="shared" si="10"/>
        <v>0.6</v>
      </c>
      <c r="D56" s="49">
        <f t="shared" si="10"/>
        <v>0.01</v>
      </c>
      <c r="E56" s="49">
        <f>MAX(C56:D56)</f>
        <v>0.6</v>
      </c>
      <c r="G56" s="1" t="str">
        <f>G50</f>
        <v>per 100 referrals</v>
      </c>
      <c r="L56" s="58">
        <f>IF(($E50&gt;0),L50,L49)</f>
        <v>100</v>
      </c>
      <c r="M56" s="58"/>
    </row>
    <row r="57" spans="2:18" ht="15" hidden="1" customHeight="1">
      <c r="B57" s="49" t="str">
        <f>IF(($E51&gt;0),B51,B49)</f>
        <v>per 100 youth petitioned</v>
      </c>
      <c r="C57" s="49">
        <f>IF(($E51&gt;0),C51,C50)</f>
        <v>0.43</v>
      </c>
      <c r="D57" s="49">
        <f>IF(($E51&gt;0),D51,D50)</f>
        <v>0.01</v>
      </c>
      <c r="E57" s="49">
        <f>MAX(C57:D57)</f>
        <v>0.43</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5.851</v>
      </c>
      <c r="D60" s="56">
        <f>D54</f>
        <v>0</v>
      </c>
      <c r="E60" s="56">
        <f>MAX(C60:D60)</f>
        <v>5.851</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referrals</v>
      </c>
      <c r="C62" s="49">
        <f t="shared" si="11"/>
        <v>0.6</v>
      </c>
      <c r="D62" s="49">
        <f t="shared" si="11"/>
        <v>0.01</v>
      </c>
      <c r="E62" s="49">
        <f>MAX(C62:D62)</f>
        <v>0.6</v>
      </c>
      <c r="G62" s="1" t="str">
        <f>G56</f>
        <v>per 100 referrals</v>
      </c>
      <c r="L62" s="58">
        <f>IF(($E56&gt;0),L56,L55)</f>
        <v>100</v>
      </c>
      <c r="M62" s="58"/>
    </row>
    <row r="63" spans="2:18" ht="15" hidden="1" customHeight="1">
      <c r="B63" s="49" t="str">
        <f>IF(($E57&gt;0),B57,B55)</f>
        <v>per 100 youth petitioned</v>
      </c>
      <c r="C63" s="49">
        <f>IF(($E57&gt;0),C57,C56)</f>
        <v>0.43</v>
      </c>
      <c r="D63" s="49">
        <f>IF(($E57&gt;0),D57,D56)</f>
        <v>0.01</v>
      </c>
      <c r="E63" s="49">
        <f>MAX(C63:D63)</f>
        <v>0.43</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5.851</v>
      </c>
      <c r="D66" s="56">
        <f>D60</f>
        <v>0</v>
      </c>
      <c r="E66" s="56">
        <f>MAX(C66:D66)</f>
        <v>5.851</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referrals</v>
      </c>
      <c r="C68" s="49">
        <f t="shared" si="12"/>
        <v>0.6</v>
      </c>
      <c r="D68" s="49">
        <f t="shared" si="12"/>
        <v>0.01</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0.43</v>
      </c>
      <c r="D69" s="49">
        <f>IF(($E63&gt;0),D63,D62)</f>
        <v>0.01</v>
      </c>
      <c r="E69" s="49">
        <f>MAX(C69:D69)</f>
        <v>0.43</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5851</v>
      </c>
      <c r="D6" s="34"/>
      <c r="E6" s="33">
        <f>'Data Entry'!J6</f>
        <v>531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4.4436848401982569</v>
      </c>
      <c r="E7" s="33">
        <f>'Data Entry'!J7</f>
        <v>1</v>
      </c>
      <c r="F7" s="34">
        <f>IF((AND($E$7&gt;0,$D$66&gt;0)),($E$7/$D$66),0)</f>
        <v>1.8832391713747645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530</v>
      </c>
      <c r="P7" s="42">
        <f t="shared" ref="P7:P15" si="4">C7</f>
        <v>26</v>
      </c>
      <c r="Q7" s="42">
        <f>C6-C7</f>
        <v>5825</v>
      </c>
      <c r="R7" s="42">
        <f t="shared" ref="R7:R15" si="5">SUM(N7:Q7)</f>
        <v>6382</v>
      </c>
      <c r="S7" s="30">
        <f t="shared" ref="S7:S15" si="6">R7*((((N7*Q7)-(O7*P7))^2))</f>
        <v>403865883550</v>
      </c>
      <c r="T7" s="30">
        <f t="shared" ref="T7:T15" si="7">(N7+O7)*(P7+Q7)*(N7+P7)*(O7+Q7)</f>
        <v>533094176385</v>
      </c>
      <c r="U7" s="31">
        <f t="shared" ref="U7:U15" si="8">IF((S7&gt;0),S7/T7,"- -")</f>
        <v>0.75758824883190723</v>
      </c>
    </row>
    <row r="8" spans="2:21" ht="18" customHeight="1">
      <c r="B8" s="32" t="str">
        <f>'Data Entry'!A8</f>
        <v>3. Refer to Juvenile Court</v>
      </c>
      <c r="C8" s="33">
        <f>'Data Entry'!C8</f>
        <v>60</v>
      </c>
      <c r="D8" s="34">
        <f>IF((AND(C67&gt;0,C8&gt;0)),(C8/C67),0)</f>
        <v>230.76923076923077</v>
      </c>
      <c r="E8" s="33">
        <f>'Data Entry'!J8</f>
        <v>9</v>
      </c>
      <c r="F8" s="34">
        <f>IF((AND($E$8&gt;0,$D$67&gt;0)),($E8/$D67),0)</f>
        <v>900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9</v>
      </c>
      <c r="O8" s="42">
        <f>((D67*L67)-E8)+0.05</f>
        <v>-7.95</v>
      </c>
      <c r="P8" s="42">
        <f t="shared" si="4"/>
        <v>60</v>
      </c>
      <c r="Q8" s="42">
        <f>(C$67*L67)-C8</f>
        <v>-34</v>
      </c>
      <c r="R8" s="42">
        <f t="shared" si="5"/>
        <v>27.049999999999997</v>
      </c>
      <c r="S8" s="30">
        <f t="shared" si="6"/>
        <v>790969.04999999993</v>
      </c>
      <c r="T8" s="30">
        <f t="shared" si="7"/>
        <v>-79021.214999999997</v>
      </c>
      <c r="U8" s="31">
        <f t="shared" si="8"/>
        <v>-10.009578440422613</v>
      </c>
    </row>
    <row r="9" spans="2:21" ht="18" customHeight="1">
      <c r="B9" s="32" t="str">
        <f>'Data Entry'!A9</f>
        <v xml:space="preserve">4. Cases Diverted </v>
      </c>
      <c r="C9" s="33">
        <f>'Data Entry'!C9</f>
        <v>3</v>
      </c>
      <c r="D9" s="34">
        <f>IF((AND(C68&gt;0,C9&gt;0)),((C9/C68)),0)</f>
        <v>5</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9</v>
      </c>
      <c r="P9" s="42">
        <f t="shared" si="4"/>
        <v>3</v>
      </c>
      <c r="Q9" s="42">
        <f>(C$68*L68)-C9</f>
        <v>57</v>
      </c>
      <c r="R9" s="42">
        <f t="shared" si="5"/>
        <v>69</v>
      </c>
      <c r="S9" s="30">
        <f t="shared" si="6"/>
        <v>50301</v>
      </c>
      <c r="T9" s="30">
        <f t="shared" si="7"/>
        <v>106920</v>
      </c>
      <c r="U9" s="31">
        <f t="shared" si="8"/>
        <v>0.47045454545454546</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9</v>
      </c>
      <c r="P10" s="42">
        <f t="shared" si="4"/>
        <v>0</v>
      </c>
      <c r="Q10" s="42">
        <f>(C$68*L68)-C10</f>
        <v>60</v>
      </c>
      <c r="R10" s="42">
        <f t="shared" si="5"/>
        <v>69</v>
      </c>
      <c r="S10" s="30">
        <f t="shared" si="6"/>
        <v>0</v>
      </c>
      <c r="T10" s="30">
        <f t="shared" si="7"/>
        <v>0</v>
      </c>
      <c r="U10" s="31" t="str">
        <f t="shared" si="8"/>
        <v>- -</v>
      </c>
    </row>
    <row r="11" spans="2:21" ht="18" customHeight="1">
      <c r="B11" s="32" t="str">
        <f>'Data Entry'!A11</f>
        <v>6. Cases Petitioned (Charge Filed)</v>
      </c>
      <c r="C11" s="33">
        <f>'Data Entry'!C11</f>
        <v>43</v>
      </c>
      <c r="D11" s="34">
        <f>IF(((AND(C68&gt;0,C11&gt;0))),(C11/(C68)),0)</f>
        <v>71.666666666666671</v>
      </c>
      <c r="E11" s="33">
        <f>'Data Entry'!J11</f>
        <v>4</v>
      </c>
      <c r="F11" s="34">
        <f>IF(((AND($E$11&gt;0,$D$68&gt;0))),($E$11/($D$68)),0)</f>
        <v>44.444444444444443</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5</v>
      </c>
      <c r="P11" s="42">
        <f t="shared" si="4"/>
        <v>43</v>
      </c>
      <c r="Q11" s="42">
        <f>(C$68*L68)-C11</f>
        <v>17</v>
      </c>
      <c r="R11" s="42">
        <f t="shared" si="5"/>
        <v>69</v>
      </c>
      <c r="S11" s="30">
        <f t="shared" si="6"/>
        <v>1491021</v>
      </c>
      <c r="T11" s="30">
        <f t="shared" si="7"/>
        <v>558360</v>
      </c>
      <c r="U11" s="31">
        <f t="shared" si="8"/>
        <v>2.6703578336557059</v>
      </c>
    </row>
    <row r="12" spans="2:21" ht="18" customHeight="1">
      <c r="B12" s="32" t="str">
        <f>'Data Entry'!A12</f>
        <v>7. Cases Resulting in Delinquent Findings</v>
      </c>
      <c r="C12" s="33">
        <f>'Data Entry'!C12</f>
        <v>24</v>
      </c>
      <c r="D12" s="34">
        <f>IF(((AND(C69&gt;0,C12&gt;0))),(C12/(C69)),0)</f>
        <v>55.813953488372093</v>
      </c>
      <c r="E12" s="33">
        <f>'Data Entry'!J12</f>
        <v>2</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2</v>
      </c>
      <c r="P12" s="42">
        <f t="shared" si="4"/>
        <v>24</v>
      </c>
      <c r="Q12" s="42">
        <f>(C69*L69)-C12</f>
        <v>19</v>
      </c>
      <c r="R12" s="42">
        <f t="shared" si="5"/>
        <v>47</v>
      </c>
      <c r="S12" s="30">
        <f t="shared" si="6"/>
        <v>4700</v>
      </c>
      <c r="T12" s="30">
        <f t="shared" si="7"/>
        <v>93912</v>
      </c>
      <c r="U12" s="31">
        <f t="shared" si="8"/>
        <v>5.0046852372433767E-2</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24</v>
      </c>
      <c r="R13" s="42">
        <f t="shared" si="5"/>
        <v>26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29.166666666666668</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7</v>
      </c>
      <c r="Q14" s="42">
        <f>(C70*L70)-C14</f>
        <v>17</v>
      </c>
      <c r="R14" s="42">
        <f t="shared" si="5"/>
        <v>26</v>
      </c>
      <c r="S14" s="30">
        <f t="shared" si="6"/>
        <v>5096</v>
      </c>
      <c r="T14" s="30">
        <f t="shared" si="7"/>
        <v>6384</v>
      </c>
      <c r="U14" s="31">
        <f t="shared" si="8"/>
        <v>0.79824561403508776</v>
      </c>
    </row>
    <row r="15" spans="2:21" ht="15.75" customHeight="1">
      <c r="B15" s="32" t="str">
        <f>'Data Entry'!A15</f>
        <v xml:space="preserve">10. Cases Transferred to Adult Court </v>
      </c>
      <c r="C15" s="33">
        <f>'Data Entry'!C15</f>
        <v>0</v>
      </c>
      <c r="D15" s="34">
        <f>IF(((AND(C69&gt;0,C15&gt;0))),((C15/(C69))),0)</f>
        <v>0</v>
      </c>
      <c r="E15" s="33">
        <f>'Data Entry'!J15</f>
        <v>1</v>
      </c>
      <c r="F15" s="34">
        <f>IF(((AND($D$69&gt;0,$E$15&gt;0))),(($E$15/($D$69))),0)</f>
        <v>25</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1</v>
      </c>
      <c r="O15" s="42">
        <f>(D69*L69)-E15</f>
        <v>3</v>
      </c>
      <c r="P15" s="42">
        <f t="shared" si="4"/>
        <v>0</v>
      </c>
      <c r="Q15" s="42">
        <f>(C69*L69)-C15</f>
        <v>43</v>
      </c>
      <c r="R15" s="42">
        <f t="shared" si="5"/>
        <v>47</v>
      </c>
      <c r="S15" s="30">
        <f t="shared" si="6"/>
        <v>86903</v>
      </c>
      <c r="T15" s="30">
        <f t="shared" si="7"/>
        <v>7912</v>
      </c>
      <c r="U15" s="31">
        <f t="shared" si="8"/>
        <v>10.983695652173912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5.851</v>
      </c>
      <c r="D42" s="56">
        <f>E6/1000</f>
        <v>0.53100000000000003</v>
      </c>
      <c r="E42" s="56">
        <f>MAX(C42:D42)</f>
        <v>5.851</v>
      </c>
      <c r="G42" s="1" t="str">
        <f>B42</f>
        <v>per 1000 youth</v>
      </c>
      <c r="L42" s="57">
        <v>1000</v>
      </c>
      <c r="M42" s="57"/>
      <c r="R42" s="49"/>
    </row>
    <row r="43" spans="2:18" ht="15" hidden="1" customHeight="1">
      <c r="B43" s="49" t="s">
        <v>87</v>
      </c>
      <c r="C43" s="56">
        <f>C7/100</f>
        <v>0.26</v>
      </c>
      <c r="D43" s="56">
        <f>E7/100</f>
        <v>0.01</v>
      </c>
      <c r="E43" s="56">
        <f>MAX(C43:D43,0)</f>
        <v>0.26</v>
      </c>
      <c r="G43" s="1" t="str">
        <f>B43</f>
        <v>per 100 arrests</v>
      </c>
      <c r="L43" s="57">
        <v>100</v>
      </c>
      <c r="M43" s="57"/>
      <c r="R43" s="49"/>
    </row>
    <row r="44" spans="2:18" ht="15" hidden="1" customHeight="1">
      <c r="B44" s="49" t="s">
        <v>88</v>
      </c>
      <c r="C44" s="56">
        <f>C8/100</f>
        <v>0.6</v>
      </c>
      <c r="D44" s="56">
        <f>E8/100</f>
        <v>0.09</v>
      </c>
      <c r="E44" s="56">
        <f>MAX(C44:D44,0)</f>
        <v>0.6</v>
      </c>
      <c r="G44" s="1" t="str">
        <f>B44</f>
        <v>per 100 referrals</v>
      </c>
      <c r="L44" s="57">
        <v>100</v>
      </c>
      <c r="M44" s="57"/>
      <c r="R44" s="49"/>
    </row>
    <row r="45" spans="2:18" ht="15" hidden="1" customHeight="1">
      <c r="B45" s="49" t="s">
        <v>89</v>
      </c>
      <c r="C45" s="49">
        <f>C11/100</f>
        <v>0.43</v>
      </c>
      <c r="D45" s="49">
        <f>E11/100</f>
        <v>0.04</v>
      </c>
      <c r="E45" s="56">
        <f>MAX(C45:D45,0)</f>
        <v>0.43</v>
      </c>
      <c r="G45" s="1" t="str">
        <f>B45</f>
        <v>per 100 youth petitioned</v>
      </c>
      <c r="L45" s="57">
        <v>100</v>
      </c>
      <c r="M45" s="57"/>
      <c r="R45" s="49"/>
    </row>
    <row r="46" spans="2:18" ht="15" hidden="1" customHeight="1">
      <c r="B46" s="49" t="s">
        <v>90</v>
      </c>
      <c r="C46" s="49">
        <f>C12/100</f>
        <v>0.24</v>
      </c>
      <c r="D46" s="49">
        <f>E12/100</f>
        <v>0.02</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5.851</v>
      </c>
      <c r="D48" s="56">
        <f>D42</f>
        <v>0.53100000000000003</v>
      </c>
      <c r="E48" s="56">
        <f>MAX(C48:D48)</f>
        <v>5.851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0.01</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0.09</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0.43</v>
      </c>
      <c r="D51" s="49">
        <f>IF(($E45&gt;0),D45,D44)</f>
        <v>0.04</v>
      </c>
      <c r="E51" s="49">
        <f>MAX(C51:D51)</f>
        <v>0.43</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0.02</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5.851</v>
      </c>
      <c r="D54" s="56">
        <f>D48</f>
        <v>0.53100000000000003</v>
      </c>
      <c r="E54" s="56">
        <f>MAX(C54:D54)</f>
        <v>5.851</v>
      </c>
      <c r="G54" s="1" t="str">
        <f>G48</f>
        <v>per 1000 youth</v>
      </c>
      <c r="L54" s="58">
        <f>L48</f>
        <v>1000</v>
      </c>
      <c r="M54" s="58"/>
    </row>
    <row r="55" spans="2:18" ht="15" hidden="1" customHeight="1">
      <c r="B55" s="49" t="str">
        <f t="shared" ref="B55:D56" si="10">IF(($E49&gt;0),B49,B48)</f>
        <v>per 100 arrests</v>
      </c>
      <c r="C55" s="49">
        <f t="shared" si="10"/>
        <v>0.26</v>
      </c>
      <c r="D55" s="49">
        <f t="shared" si="10"/>
        <v>0.01</v>
      </c>
      <c r="E55" s="49">
        <f>MAX(C55:D55)</f>
        <v>0.26</v>
      </c>
      <c r="G55" s="1" t="str">
        <f>G49</f>
        <v>per 100 arrests</v>
      </c>
      <c r="L55" s="58">
        <f>IF(($E49&gt;0),L49,L48)</f>
        <v>100</v>
      </c>
      <c r="M55" s="58"/>
    </row>
    <row r="56" spans="2:18" ht="15" hidden="1" customHeight="1">
      <c r="B56" s="49" t="str">
        <f t="shared" si="10"/>
        <v>per 100 referrals</v>
      </c>
      <c r="C56" s="49">
        <f t="shared" si="10"/>
        <v>0.6</v>
      </c>
      <c r="D56" s="49">
        <f t="shared" si="10"/>
        <v>0.09</v>
      </c>
      <c r="E56" s="49">
        <f>MAX(C56:D56)</f>
        <v>0.6</v>
      </c>
      <c r="G56" s="1" t="str">
        <f>G50</f>
        <v>per 100 referrals</v>
      </c>
      <c r="L56" s="58">
        <f>IF(($E50&gt;0),L50,L49)</f>
        <v>100</v>
      </c>
      <c r="M56" s="58"/>
    </row>
    <row r="57" spans="2:18" ht="15" hidden="1" customHeight="1">
      <c r="B57" s="49" t="str">
        <f>IF(($E51&gt;0),B51,B49)</f>
        <v>per 100 youth petitioned</v>
      </c>
      <c r="C57" s="49">
        <f>IF(($E51&gt;0),C51,C50)</f>
        <v>0.43</v>
      </c>
      <c r="D57" s="49">
        <f>IF(($E51&gt;0),D51,D50)</f>
        <v>0.04</v>
      </c>
      <c r="E57" s="49">
        <f>MAX(C57:D57)</f>
        <v>0.43</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0.02</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5.851</v>
      </c>
      <c r="D60" s="56">
        <f>D54</f>
        <v>0.53100000000000003</v>
      </c>
      <c r="E60" s="56">
        <f>MAX(C60:D60)</f>
        <v>5.851</v>
      </c>
      <c r="G60" s="1" t="str">
        <f>G54</f>
        <v>per 1000 youth</v>
      </c>
      <c r="L60" s="58">
        <f>L54</f>
        <v>1000</v>
      </c>
      <c r="M60" s="58"/>
    </row>
    <row r="61" spans="2:18" ht="15" hidden="1" customHeight="1">
      <c r="B61" s="49" t="str">
        <f t="shared" ref="B61:D62" si="11">IF(($E55&gt;0),B55,B54)</f>
        <v>per 100 arrests</v>
      </c>
      <c r="C61" s="49">
        <f t="shared" si="11"/>
        <v>0.26</v>
      </c>
      <c r="D61" s="49">
        <f t="shared" si="11"/>
        <v>0.01</v>
      </c>
      <c r="E61" s="49">
        <f>MAX(C61:D61)</f>
        <v>0.26</v>
      </c>
      <c r="G61" s="1" t="str">
        <f>G55</f>
        <v>per 100 arrests</v>
      </c>
      <c r="L61" s="58">
        <f>IF(($E55&gt;0),L55,L54)</f>
        <v>100</v>
      </c>
      <c r="M61" s="58"/>
    </row>
    <row r="62" spans="2:18" ht="15" hidden="1" customHeight="1">
      <c r="B62" s="49" t="str">
        <f t="shared" si="11"/>
        <v>per 100 referrals</v>
      </c>
      <c r="C62" s="49">
        <f t="shared" si="11"/>
        <v>0.6</v>
      </c>
      <c r="D62" s="49">
        <f t="shared" si="11"/>
        <v>0.09</v>
      </c>
      <c r="E62" s="49">
        <f>MAX(C62:D62)</f>
        <v>0.6</v>
      </c>
      <c r="G62" s="1" t="str">
        <f>G56</f>
        <v>per 100 referrals</v>
      </c>
      <c r="L62" s="58">
        <f>IF(($E56&gt;0),L56,L55)</f>
        <v>100</v>
      </c>
      <c r="M62" s="58"/>
    </row>
    <row r="63" spans="2:18" ht="15" hidden="1" customHeight="1">
      <c r="B63" s="49" t="str">
        <f>IF(($E57&gt;0),B57,B55)</f>
        <v>per 100 youth petitioned</v>
      </c>
      <c r="C63" s="49">
        <f>IF(($E57&gt;0),C57,C56)</f>
        <v>0.43</v>
      </c>
      <c r="D63" s="49">
        <f>IF(($E57&gt;0),D57,D56)</f>
        <v>0.04</v>
      </c>
      <c r="E63" s="49">
        <f>MAX(C63:D63)</f>
        <v>0.43</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0.02</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5.851</v>
      </c>
      <c r="D66" s="56">
        <f>D60</f>
        <v>0.53100000000000003</v>
      </c>
      <c r="E66" s="56">
        <f>MAX(C66:D66)</f>
        <v>5.851</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0.01</v>
      </c>
      <c r="E67" s="49">
        <f>MAX(C67:D67)</f>
        <v>0.26</v>
      </c>
      <c r="G67" s="1" t="str">
        <f>G61</f>
        <v>per 100 arrests</v>
      </c>
      <c r="L67" s="58">
        <f>IF(($E61&gt;0),L61,L60)</f>
        <v>100</v>
      </c>
      <c r="M67" s="58">
        <f>IF((B67=G67),1,2)</f>
        <v>1</v>
      </c>
    </row>
    <row r="68" spans="2:13" ht="15" hidden="1" customHeight="1">
      <c r="B68" s="49" t="str">
        <f t="shared" si="12"/>
        <v>per 100 referrals</v>
      </c>
      <c r="C68" s="49">
        <f t="shared" si="12"/>
        <v>0.6</v>
      </c>
      <c r="D68" s="49">
        <f t="shared" si="12"/>
        <v>0.09</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0.43</v>
      </c>
      <c r="D69" s="49">
        <f>IF(($E63&gt;0),D63,D62)</f>
        <v>0.04</v>
      </c>
      <c r="E69" s="49">
        <f>MAX(C69:D69)</f>
        <v>0.43</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0.02</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Barry</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119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f>Asian!L9</f>
        <v>139</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20</v>
      </c>
      <c r="M11" s="1">
        <f>Hispanic!L11</f>
        <v>40</v>
      </c>
      <c r="N11" s="1">
        <f>Asian!L11</f>
        <v>139</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f>Asian!L12</f>
        <v>139</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f>Hispanic!L14</f>
        <v>40</v>
      </c>
      <c r="N14" s="1">
        <f>Asian!L14</f>
        <v>139</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20</v>
      </c>
      <c r="M15" s="1" t="e">
        <f>Hispanic!L15</f>
        <v>#VALUE!</v>
      </c>
      <c r="N15" s="1" t="e">
        <f>Asian!L15</f>
        <v>#VALUE!</v>
      </c>
      <c r="O15" s="1" t="e">
        <f>Hawaiian!L15</f>
        <v>#VALUE!</v>
      </c>
      <c r="P15" s="1" t="e">
        <f>'Am Indian'!L15</f>
        <v>#VALUE!</v>
      </c>
      <c r="Q15" s="1" t="e">
        <f>'Other - Mixed'!L15</f>
        <v>#VALUE!</v>
      </c>
      <c r="R15" s="1">
        <f>'All Minorities'!L15</f>
        <v>20</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6382</v>
      </c>
      <c r="D3" s="57">
        <f>'Data Entry'!C6</f>
        <v>5851</v>
      </c>
      <c r="E3" s="57">
        <f>'Data Entry'!D6</f>
        <v>134</v>
      </c>
      <c r="F3" s="57">
        <f>'Data Entry'!E6</f>
        <v>323</v>
      </c>
      <c r="G3" s="57">
        <f>'Data Entry'!F6</f>
        <v>36</v>
      </c>
      <c r="H3" s="57">
        <f>'Data Entry'!G6</f>
        <v>0</v>
      </c>
      <c r="I3" s="57">
        <f>'Data Entry'!H6</f>
        <v>38</v>
      </c>
      <c r="J3" s="57">
        <f>'Data Entry'!I6</f>
        <v>0</v>
      </c>
      <c r="K3" s="57">
        <f>'Data Entry'!J6</f>
        <v>531</v>
      </c>
    </row>
    <row r="4" spans="2:11" ht="15" customHeight="1">
      <c r="B4" s="16" t="s">
        <v>8</v>
      </c>
      <c r="C4" s="1">
        <f>IF((C$3&gt;0),(1000*('Data Entry'!B7/'Data Entry'!B$6)), 0)</f>
        <v>4.2306486994672516</v>
      </c>
      <c r="D4" s="1">
        <f>IF((D$3&gt;0),(1000*('Data Entry'!C7/'Data Entry'!C$6)), 0)</f>
        <v>4.443684840198256</v>
      </c>
      <c r="E4" s="1">
        <f>IF((E$3&gt;0),(1000*('Data Entry'!D7/'Data Entry'!D$6)), 0)</f>
        <v>7.4626865671641793</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1.8832391713747645</v>
      </c>
    </row>
    <row r="5" spans="2:11" ht="15" customHeight="1">
      <c r="B5" s="16" t="s">
        <v>9</v>
      </c>
      <c r="C5" s="1">
        <f>IF((C$3&gt;0),(1000*('Data Entry'!B8/'Data Entry'!B$6)), 0)</f>
        <v>10.968348480100282</v>
      </c>
      <c r="D5" s="1">
        <f>IF((D$3&gt;0),(1000*('Data Entry'!C8/'Data Entry'!C$6)), 0)</f>
        <v>10.25465732353444</v>
      </c>
      <c r="E5" s="1">
        <f>IF((E$3&gt;0),(1000*('Data Entry'!D8/'Data Entry'!D$6)), 0)</f>
        <v>44.776119402985074</v>
      </c>
      <c r="F5" s="1">
        <f>IF((F$3&gt;0),(1000*('Data Entry'!E8/'Data Entry'!E$6)), 0)</f>
        <v>3.0959752321981426</v>
      </c>
      <c r="G5" s="1">
        <f>IF((G$3&gt;0),(1000*('Data Entry'!F8/'Data Entry'!F$6)), 0)</f>
        <v>27.777777777777775</v>
      </c>
      <c r="H5" s="1">
        <f>IF((H$3&gt;0),(1000*('Data Entry'!G8/'Data Entry'!G$6)), 0)</f>
        <v>0</v>
      </c>
      <c r="I5" s="1">
        <f>IF((I$3&gt;0),(1000*('Data Entry'!H8/'Data Entry'!H$6)), 0)</f>
        <v>0</v>
      </c>
      <c r="J5" s="1">
        <f>IF((J$3&gt;0),(1000*('Data Entry'!I8/'Data Entry'!I$6)), 0)</f>
        <v>0</v>
      </c>
      <c r="K5" s="1">
        <f>IF((K$3&gt;0),(1000*('Data Entry'!J8/'Data Entry'!J$6)), 0)</f>
        <v>16.949152542372882</v>
      </c>
    </row>
    <row r="6" spans="2:11" ht="15" customHeight="1">
      <c r="B6" s="16" t="s">
        <v>10</v>
      </c>
      <c r="C6" s="1">
        <f>IF((C$3&gt;0),(1000*('Data Entry'!B9/'Data Entry'!B$6)), 0)</f>
        <v>0.4700720777185835</v>
      </c>
      <c r="D6" s="1">
        <f>IF((D$3&gt;0),(1000*('Data Entry'!C9/'Data Entry'!C$6)), 0)</f>
        <v>0.51273286617672198</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7.3644625509244745</v>
      </c>
      <c r="D8" s="1">
        <f>IF((D$3&gt;0),(1000*('Data Entry'!C11/'Data Entry'!C$6)), 0)</f>
        <v>7.3491710818663476</v>
      </c>
      <c r="E8" s="1">
        <f>IF((E$3&gt;0),(1000*('Data Entry'!D11/'Data Entry'!D$6)), 0)</f>
        <v>7.4626865671641793</v>
      </c>
      <c r="F8" s="1">
        <f>IF((F$3&gt;0),(1000*('Data Entry'!E11/'Data Entry'!E$6)), 0)</f>
        <v>3.0959752321981426</v>
      </c>
      <c r="G8" s="1">
        <f>IF((G$3&gt;0),(1000*('Data Entry'!F11/'Data Entry'!F$6)), 0)</f>
        <v>27.777777777777775</v>
      </c>
      <c r="H8" s="1">
        <f>IF((H$3&gt;0),(1000*('Data Entry'!G11/'Data Entry'!G$6)), 0)</f>
        <v>0</v>
      </c>
      <c r="I8" s="1">
        <f>IF((I$3&gt;0),(1000*('Data Entry'!H11/'Data Entry'!H$6)), 0)</f>
        <v>0</v>
      </c>
      <c r="J8" s="1">
        <f>IF((J$3&gt;0),(1000*('Data Entry'!I11/'Data Entry'!I$6)), 0)</f>
        <v>0</v>
      </c>
      <c r="K8" s="1">
        <f>IF((K$3&gt;0),(1000*('Data Entry'!J11/'Data Entry'!J$6)), 0)</f>
        <v>7.5329566854990579</v>
      </c>
    </row>
    <row r="9" spans="2:11" ht="15" customHeight="1">
      <c r="B9" s="16" t="s">
        <v>13</v>
      </c>
      <c r="C9" s="1">
        <f>IF((C$3&gt;0),(1000*('Data Entry'!B12/'Data Entry'!B$6)), 0)</f>
        <v>4.0739580068943901</v>
      </c>
      <c r="D9" s="1">
        <f>IF((D$3&gt;0),(1000*('Data Entry'!C12/'Data Entry'!C$6)), 0)</f>
        <v>4.1018629294137758</v>
      </c>
      <c r="E9" s="1">
        <f>IF((E$3&gt;0),(1000*('Data Entry'!D12/'Data Entry'!D$6)), 0)</f>
        <v>0</v>
      </c>
      <c r="F9" s="1">
        <f>IF((F$3&gt;0),(1000*('Data Entry'!E12/'Data Entry'!E$6)), 0)</f>
        <v>3.0959752321981426</v>
      </c>
      <c r="G9" s="1">
        <f>IF((G$3&gt;0),(1000*('Data Entry'!F12/'Data Entry'!F$6)), 0)</f>
        <v>27.777777777777775</v>
      </c>
      <c r="H9" s="1">
        <f>IF((H$3&gt;0),(1000*('Data Entry'!G12/'Data Entry'!G$6)), 0)</f>
        <v>0</v>
      </c>
      <c r="I9" s="1">
        <f>IF((I$3&gt;0),(1000*('Data Entry'!H12/'Data Entry'!H$6)), 0)</f>
        <v>0</v>
      </c>
      <c r="J9" s="1">
        <f>IF((J$3&gt;0),(1000*('Data Entry'!I12/'Data Entry'!I$6)), 0)</f>
        <v>0</v>
      </c>
      <c r="K9" s="1">
        <f>IF((K$3&gt;0),(1000*('Data Entry'!J12/'Data Entry'!J$6)), 0)</f>
        <v>3.766478342749529</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1.0968348480100283</v>
      </c>
      <c r="D11" s="1">
        <f>IF((D$3&gt;0),(1000*('Data Entry'!C14/'Data Entry'!C$6)), 0)</f>
        <v>1.1963766877456845</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0.15669069257286117</v>
      </c>
      <c r="D12" s="1">
        <f>IF((D$3&gt;0),(1000*('Data Entry'!C15/'Data Entry'!C$6)), 0)</f>
        <v>0</v>
      </c>
      <c r="E12" s="1">
        <f>IF((E$3&gt;0),(1000*('Data Entry'!D15/'Data Entry'!D$6)), 0)</f>
        <v>7.4626865671641793</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1.8832391713747645</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Barry</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1.67939150401837</v>
      </c>
      <c r="E19" s="72" t="str">
        <f t="shared" si="1"/>
        <v>--</v>
      </c>
      <c r="F19" s="72" t="str">
        <f t="shared" si="1"/>
        <v>--</v>
      </c>
      <c r="G19" s="72" t="str">
        <f t="shared" si="1"/>
        <v>--</v>
      </c>
      <c r="H19" s="72" t="str">
        <f t="shared" si="1"/>
        <v>--</v>
      </c>
      <c r="I19" s="72" t="str">
        <f t="shared" si="1"/>
        <v>--</v>
      </c>
      <c r="J19" s="73">
        <f t="shared" si="1"/>
        <v>0.42380124583514417</v>
      </c>
    </row>
    <row r="20" spans="2:10" ht="15" customHeight="1">
      <c r="B20" s="71" t="s">
        <v>9</v>
      </c>
      <c r="C20" s="72">
        <f t="shared" ref="C20:J27" si="2">IF(AND(($D5&gt;0),(D5&gt;0)), (D5/$D5),"--")</f>
        <v>1</v>
      </c>
      <c r="D20" s="72">
        <f t="shared" si="2"/>
        <v>4.366417910447761</v>
      </c>
      <c r="E20" s="72">
        <f t="shared" si="2"/>
        <v>0.30190918472652217</v>
      </c>
      <c r="F20" s="72">
        <f t="shared" si="2"/>
        <v>2.7087962962962955</v>
      </c>
      <c r="G20" s="72" t="str">
        <f t="shared" si="2"/>
        <v>--</v>
      </c>
      <c r="H20" s="72" t="str">
        <f t="shared" si="2"/>
        <v>--</v>
      </c>
      <c r="I20" s="72" t="str">
        <f t="shared" si="2"/>
        <v>--</v>
      </c>
      <c r="J20" s="73">
        <f t="shared" si="2"/>
        <v>1.652824858757062</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1.015446025685526</v>
      </c>
      <c r="E23" s="72">
        <f t="shared" si="2"/>
        <v>0.42126862985096125</v>
      </c>
      <c r="F23" s="72">
        <f t="shared" si="2"/>
        <v>3.7797157622739013</v>
      </c>
      <c r="G23" s="72" t="str">
        <f t="shared" si="2"/>
        <v>--</v>
      </c>
      <c r="H23" s="72" t="str">
        <f t="shared" si="2"/>
        <v>--</v>
      </c>
      <c r="I23" s="72" t="str">
        <f t="shared" si="2"/>
        <v>--</v>
      </c>
      <c r="J23" s="73">
        <f t="shared" si="2"/>
        <v>1.0250076643454649</v>
      </c>
    </row>
    <row r="24" spans="2:10" ht="15" customHeight="1">
      <c r="B24" s="71" t="s">
        <v>13</v>
      </c>
      <c r="C24" s="72">
        <f t="shared" si="2"/>
        <v>1</v>
      </c>
      <c r="D24" s="72" t="str">
        <f t="shared" si="2"/>
        <v>--</v>
      </c>
      <c r="E24" s="72">
        <f t="shared" si="2"/>
        <v>0.75477296181630549</v>
      </c>
      <c r="F24" s="72">
        <f t="shared" si="2"/>
        <v>6.7719907407407396</v>
      </c>
      <c r="G24" s="72" t="str">
        <f t="shared" si="2"/>
        <v>--</v>
      </c>
      <c r="H24" s="72" t="str">
        <f t="shared" si="2"/>
        <v>--</v>
      </c>
      <c r="I24" s="72" t="str">
        <f t="shared" si="2"/>
        <v>--</v>
      </c>
      <c r="J24" s="73">
        <f t="shared" si="2"/>
        <v>0.91823603264281217</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Barry</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5851</v>
      </c>
      <c r="D7" s="104">
        <f>'Data Entry'!D6</f>
        <v>134</v>
      </c>
      <c r="E7" s="105"/>
      <c r="F7" s="106">
        <f>'Data Entry'!E6</f>
        <v>323</v>
      </c>
      <c r="G7" s="105"/>
      <c r="H7" s="106">
        <f>'Data Entry'!F6</f>
        <v>36</v>
      </c>
      <c r="I7" s="105"/>
      <c r="J7" s="106">
        <f>'Data Entry'!G6</f>
        <v>0</v>
      </c>
      <c r="K7" s="105"/>
      <c r="L7" s="106">
        <f>'Data Entry'!H6</f>
        <v>38</v>
      </c>
      <c r="M7" s="105"/>
      <c r="N7" s="106">
        <f>'Data Entry'!I6</f>
        <v>0</v>
      </c>
      <c r="O7" s="105"/>
      <c r="P7" s="106">
        <f>'Data Entry'!J6</f>
        <v>531</v>
      </c>
      <c r="Q7" s="107"/>
    </row>
    <row r="8" spans="2:26" s="1" customFormat="1" ht="15" customHeight="1">
      <c r="B8" s="142" t="s">
        <v>8</v>
      </c>
      <c r="C8" s="103">
        <f>'Data Entry'!C7</f>
        <v>26</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60</v>
      </c>
      <c r="D9" s="108">
        <f>'Data Entry'!D8</f>
        <v>6</v>
      </c>
      <c r="E9" s="109" t="str">
        <f>'Black or African-American'!$G8</f>
        <v>**</v>
      </c>
      <c r="F9" s="110">
        <f>'Data Entry'!E8</f>
        <v>1</v>
      </c>
      <c r="G9" s="109" t="str">
        <f>Hispanic!G8</f>
        <v>**</v>
      </c>
      <c r="H9" s="110">
        <f>'Data Entry'!F8</f>
        <v>1</v>
      </c>
      <c r="I9" s="109" t="str">
        <f>Asian!G8</f>
        <v>*</v>
      </c>
      <c r="J9" s="110">
        <f>'Data Entry'!G8</f>
        <v>0</v>
      </c>
      <c r="K9" s="109" t="str">
        <f>Hawaiian!G8</f>
        <v>*</v>
      </c>
      <c r="L9" s="110">
        <f>'Data Entry'!H8</f>
        <v>0</v>
      </c>
      <c r="M9" s="109" t="str">
        <f>'Am Indian'!G8</f>
        <v>*</v>
      </c>
      <c r="N9" s="110">
        <f>'Data Entry'!I8</f>
        <v>1</v>
      </c>
      <c r="O9" s="109" t="str">
        <f>'Other - Mixed'!G8</f>
        <v>*</v>
      </c>
      <c r="P9" s="110">
        <f>'Data Entry'!J8</f>
        <v>9</v>
      </c>
      <c r="Q9" s="111" t="str">
        <f>'All Minorities'!G8</f>
        <v>**</v>
      </c>
      <c r="R9"/>
      <c r="T9" s="1">
        <f>'Black or African-American'!L8</f>
        <v>40</v>
      </c>
      <c r="U9" s="1">
        <f>Hispanic!L8</f>
        <v>20</v>
      </c>
      <c r="V9" s="1">
        <f>Asian!L8</f>
        <v>119</v>
      </c>
      <c r="W9" s="1">
        <f>Hawaiian!L8</f>
        <v>139</v>
      </c>
      <c r="X9" s="1">
        <f>'Am Indian'!L8</f>
        <v>139</v>
      </c>
      <c r="Y9" s="1">
        <f>'Other - Mixed'!L8</f>
        <v>119</v>
      </c>
      <c r="Z9" s="1">
        <f>'All Minorities'!L8</f>
        <v>20</v>
      </c>
    </row>
    <row r="10" spans="2:26" s="1" customFormat="1" ht="15" customHeight="1">
      <c r="B10" s="142"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f>Hispanic!L9</f>
        <v>40</v>
      </c>
      <c r="V10" s="1">
        <f>Asian!L9</f>
        <v>139</v>
      </c>
      <c r="W10" s="1" t="e">
        <f>Hawaiian!L9</f>
        <v>#VALUE!</v>
      </c>
      <c r="X10" s="1" t="e">
        <f>'Am Indian'!L9</f>
        <v>#VALUE!</v>
      </c>
      <c r="Y10" s="1">
        <f>'Other - Mixed'!L9</f>
        <v>139</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43</v>
      </c>
      <c r="D12" s="112">
        <f>'Data Entry'!D11</f>
        <v>1</v>
      </c>
      <c r="E12" s="113" t="str">
        <f>'Black or African-American'!$G11</f>
        <v>**</v>
      </c>
      <c r="F12" s="114">
        <f>'Data Entry'!E11</f>
        <v>1</v>
      </c>
      <c r="G12" s="113" t="str">
        <f>Hispanic!G11</f>
        <v>**</v>
      </c>
      <c r="H12" s="114">
        <f>'Data Entry'!F11</f>
        <v>1</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4</v>
      </c>
      <c r="Q12" s="115" t="str">
        <f>'All Minorities'!G11</f>
        <v>**</v>
      </c>
      <c r="R12"/>
      <c r="T12" s="1">
        <f>'Black or African-American'!L11</f>
        <v>20</v>
      </c>
      <c r="U12" s="1">
        <f>Hispanic!L11</f>
        <v>40</v>
      </c>
      <c r="V12" s="1">
        <f>Asian!L11</f>
        <v>139</v>
      </c>
      <c r="W12" s="1" t="e">
        <f>Hawaiian!L11</f>
        <v>#VALUE!</v>
      </c>
      <c r="X12" s="1" t="e">
        <f>'Am Indian'!L11</f>
        <v>#VALUE!</v>
      </c>
      <c r="Y12" s="1">
        <f>'Other - Mixed'!L11</f>
        <v>139</v>
      </c>
      <c r="Z12" s="1">
        <f>'All Minorities'!L11</f>
        <v>40</v>
      </c>
    </row>
    <row r="13" spans="2:26" s="1" customFormat="1" ht="15" customHeight="1">
      <c r="B13" s="142" t="s">
        <v>13</v>
      </c>
      <c r="C13" s="103">
        <f>'Data Entry'!C12</f>
        <v>24</v>
      </c>
      <c r="D13" s="108">
        <f>'Data Entry'!D12</f>
        <v>0</v>
      </c>
      <c r="E13" s="109" t="str">
        <f>'Black or African-American'!$G12</f>
        <v>**</v>
      </c>
      <c r="F13" s="110">
        <f>'Data Entry'!E12</f>
        <v>1</v>
      </c>
      <c r="G13" s="109" t="str">
        <f>Hispanic!G12</f>
        <v>**</v>
      </c>
      <c r="H13" s="110">
        <f>'Data Entry'!F12</f>
        <v>1</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2</v>
      </c>
      <c r="Q13" s="111" t="str">
        <f>'All Minorities'!G12</f>
        <v>**</v>
      </c>
      <c r="R13"/>
      <c r="T13" s="1">
        <f>'Black or African-American'!L12</f>
        <v>40</v>
      </c>
      <c r="U13" s="1">
        <f>Hispanic!L12</f>
        <v>40</v>
      </c>
      <c r="V13" s="1">
        <f>Asian!L12</f>
        <v>139</v>
      </c>
      <c r="W13" s="1" t="e">
        <f>Hawaiian!L12</f>
        <v>#VALUE!</v>
      </c>
      <c r="X13" s="1" t="e">
        <f>'Am Indian'!L12</f>
        <v>#VALUE!</v>
      </c>
      <c r="Y13" s="1">
        <f>'Other - Mixed'!L12</f>
        <v>139</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7</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f>Hispanic!L14</f>
        <v>40</v>
      </c>
      <c r="V15" s="1">
        <f>Asian!L14</f>
        <v>139</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1</v>
      </c>
      <c r="Q16" s="119" t="str">
        <f>'All Minorities'!G15</f>
        <v>**</v>
      </c>
      <c r="R16"/>
      <c r="T16" s="1">
        <f>'Black or African-American'!L15</f>
        <v>20</v>
      </c>
      <c r="U16" s="1" t="e">
        <f>Hispanic!L15</f>
        <v>#VALUE!</v>
      </c>
      <c r="V16" s="1" t="e">
        <f>Asian!L15</f>
        <v>#VALUE!</v>
      </c>
      <c r="W16" s="1" t="e">
        <f>Hawaiian!L15</f>
        <v>#VALUE!</v>
      </c>
      <c r="X16" s="1" t="e">
        <f>'Am Indian'!L15</f>
        <v>#VALUE!</v>
      </c>
      <c r="Y16" s="1" t="e">
        <f>'Other - Mixed'!L15</f>
        <v>#VALUE!</v>
      </c>
      <c r="Z16" s="1">
        <f>'All Minorities'!L15</f>
        <v>20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Barry</v>
      </c>
    </row>
    <row r="6" spans="1:12">
      <c r="A6" s="135" t="str">
        <f>CONCATENATE("Percentage of Minorities at Stages of the Juvenile Justice System, ", A5, " 2022")</f>
        <v>Percentage of Minorities at Stages of the Juvenile Justice System, County: Barry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N=1</v>
      </c>
      <c r="B7" s="150">
        <f>'Data Entry'!D15/'Data Entry'!B15</f>
        <v>1</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11.018832391713749</v>
      </c>
    </row>
    <row r="8" spans="1:12" ht="25.5" customHeight="1">
      <c r="A8" s="151" t="str">
        <f>CONCATENATE("Confinement, total N=", 'Data Entry'!B14)</f>
        <v>Confinement, total N=7</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N=7</v>
      </c>
      <c r="L8">
        <f>I14/(SUM(B14:G14))</f>
        <v>11.018832391713749</v>
      </c>
    </row>
    <row r="9" spans="1:12">
      <c r="A9" s="128" t="str">
        <f>CONCATENATE("Delinquent Findings, total N=", 'Data Entry'!B12)</f>
        <v>Delinquent Findings, total N=26</v>
      </c>
      <c r="B9" s="150">
        <f>'Data Entry'!D12/'Data Entry'!B12</f>
        <v>0</v>
      </c>
      <c r="C9" s="150">
        <f>'Data Entry'!E12/'Data Entry'!B12</f>
        <v>3.8461538461538464E-2</v>
      </c>
      <c r="D9" s="150">
        <f>'Data Entry'!F12/'Data Entry'!B12</f>
        <v>3.8461538461538464E-2</v>
      </c>
      <c r="E9" s="150">
        <f>'Data Entry'!G12/'Data Entry'!B12</f>
        <v>0</v>
      </c>
      <c r="F9" s="150">
        <f>'Data Entry'!H12/'Data Entry'!B12</f>
        <v>0</v>
      </c>
      <c r="G9" s="150">
        <f>'Data Entry'!I12/'Data Entry'!B12</f>
        <v>0</v>
      </c>
      <c r="H9" s="150">
        <f>SUM(D9:G9)/'Data Entry'!B12</f>
        <v>1.4792899408284025E-3</v>
      </c>
      <c r="I9" s="150">
        <f>'Data Entry'!C12/'Data Entry'!B12</f>
        <v>0.92307692307692313</v>
      </c>
      <c r="K9" s="96" t="str">
        <f t="shared" si="0"/>
        <v>Delinquent Findings, total N=26</v>
      </c>
      <c r="L9">
        <f>I14/(SUM(B14:G14))</f>
        <v>11.018832391713749</v>
      </c>
    </row>
    <row r="10" spans="1:12">
      <c r="A10" s="128" t="str">
        <f>CONCATENATE("Petitions, total N=", 'Data Entry'!B11)</f>
        <v>Petitions, total N=47</v>
      </c>
      <c r="B10" s="150">
        <f>'Data Entry'!D11/'Data Entry'!B11</f>
        <v>2.1276595744680851E-2</v>
      </c>
      <c r="C10" s="150">
        <f>'Data Entry'!E11/'Data Entry'!B11</f>
        <v>2.1276595744680851E-2</v>
      </c>
      <c r="D10" s="150">
        <f>'Data Entry'!F11/'Data Entry'!B11</f>
        <v>2.1276595744680851E-2</v>
      </c>
      <c r="E10" s="150">
        <f>'Data Entry'!G11/'Data Entry'!B11</f>
        <v>0</v>
      </c>
      <c r="F10" s="150">
        <f>'Data Entry'!H11/'Data Entry'!B11</f>
        <v>0</v>
      </c>
      <c r="G10" s="150">
        <f>'Data Entry'!I11/'Data Entry'!B11</f>
        <v>2.1276595744680851E-2</v>
      </c>
      <c r="H10" s="150">
        <f>SUM(D10:G10)/'Data Entry'!B11</f>
        <v>9.0538705296514259E-4</v>
      </c>
      <c r="I10" s="150">
        <f>'Data Entry'!C11/'Data Entry'!B11</f>
        <v>0.91489361702127658</v>
      </c>
      <c r="K10" s="96" t="str">
        <f t="shared" si="0"/>
        <v>Petitions, total N=47</v>
      </c>
      <c r="L10">
        <f>I14/(SUM(B14:G14))</f>
        <v>11.018832391713749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11.018832391713749</v>
      </c>
    </row>
    <row r="12" spans="1:12">
      <c r="A12" s="128" t="str">
        <f>CONCATENATE("Referrals, total N=", 'Data Entry'!B8)</f>
        <v>Referrals, total N=70</v>
      </c>
      <c r="B12" s="150">
        <f>'Data Entry'!D8/'Data Entry'!B8</f>
        <v>8.5714285714285715E-2</v>
      </c>
      <c r="C12" s="150">
        <f>'Data Entry'!E8/'Data Entry'!B8</f>
        <v>1.4285714285714285E-2</v>
      </c>
      <c r="D12" s="150">
        <f>'Data Entry'!F8/'Data Entry'!B8</f>
        <v>1.4285714285714285E-2</v>
      </c>
      <c r="E12" s="150">
        <f>'Data Entry'!G8/'Data Entry'!B8</f>
        <v>0</v>
      </c>
      <c r="F12" s="150">
        <f>'Data Entry'!H8/'Data Entry'!B8</f>
        <v>0</v>
      </c>
      <c r="G12" s="150">
        <f>'Data Entry'!I8/'Data Entry'!B8</f>
        <v>1.4285714285714285E-2</v>
      </c>
      <c r="H12" s="150">
        <f>SUM(D12:G12)/'Data Entry'!B8</f>
        <v>4.0816326530612241E-4</v>
      </c>
      <c r="I12" s="150">
        <f>'Data Entry'!C8/'Data Entry'!B8</f>
        <v>0.8571428571428571</v>
      </c>
      <c r="K12" s="96" t="str">
        <f t="shared" si="0"/>
        <v>Referrals, total N=70</v>
      </c>
      <c r="L12">
        <f>I14/(SUM(B14:G14))</f>
        <v>11.018832391713749</v>
      </c>
    </row>
    <row r="13" spans="1:12">
      <c r="A13" s="128" t="str">
        <f>CONCATENATE("Arrests, total N=", 'Data Entry'!B7)</f>
        <v>Arrests, total N=27</v>
      </c>
      <c r="B13" s="150">
        <f>'Data Entry'!D7/'Data Entry'!B7</f>
        <v>3.7037037037037035E-2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0.96296296296296291</v>
      </c>
      <c r="K13" s="96" t="str">
        <f t="shared" si="0"/>
        <v>Arrests, total N=27</v>
      </c>
      <c r="L13">
        <f>I14/(SUM(B14:G14))</f>
        <v>11.018832391713749</v>
      </c>
    </row>
    <row r="14" spans="1:12">
      <c r="A14" s="128" t="str">
        <f>CONCATENATE("Population, total N=", 'Data Entry'!B6)</f>
        <v>Population, total N=6382</v>
      </c>
      <c r="B14" s="150">
        <f>'Data Entry'!D6/'Data Entry'!B6</f>
        <v>2.0996552804763396E-2</v>
      </c>
      <c r="C14" s="150">
        <f>'Data Entry'!E6/'Data Entry'!B6</f>
        <v>5.0611093701034157E-2</v>
      </c>
      <c r="D14" s="150">
        <f>'Data Entry'!F6/'Data Entry'!B6</f>
        <v>5.640864932623002E-3</v>
      </c>
      <c r="E14" s="150">
        <f>'Data Entry'!G6/'Data Entry'!B6</f>
        <v>0</v>
      </c>
      <c r="F14" s="150">
        <f>'Data Entry'!H6/'Data Entry'!B6</f>
        <v>5.9542463177687244E-3</v>
      </c>
      <c r="G14" s="150">
        <f>'Data Entry'!I6/'Data Entry'!B6</f>
        <v>0</v>
      </c>
      <c r="H14" s="150">
        <f>SUM(D14:G14)/'Data Entry'!B6</f>
        <v>1.8168460122832539E-6</v>
      </c>
      <c r="I14" s="150">
        <f>'Data Entry'!C6/'Data Entry'!B6</f>
        <v>0.91679724224381076</v>
      </c>
      <c r="K14" s="96" t="str">
        <f t="shared" si="0"/>
        <v>Population, total N=6382</v>
      </c>
      <c r="L14">
        <f>I14/(SUM(B14:G14))</f>
        <v>11.018832391713749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Barry</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5851</v>
      </c>
      <c r="D7" s="104">
        <f>'Data Entry'!D6</f>
        <v>134</v>
      </c>
      <c r="E7" s="105"/>
      <c r="F7" s="106">
        <f>'Data Entry'!E6</f>
        <v>323</v>
      </c>
      <c r="G7" s="105"/>
      <c r="H7" s="106">
        <f>'Data Entry'!F6</f>
        <v>36</v>
      </c>
      <c r="I7" s="105"/>
      <c r="J7" s="106">
        <f>'Data Entry'!J6</f>
        <v>531</v>
      </c>
      <c r="K7" s="107"/>
    </row>
    <row r="8" spans="2:30" s="1" customFormat="1" ht="15" customHeight="1">
      <c r="B8" s="121" t="s">
        <v>8</v>
      </c>
      <c r="C8" s="103">
        <f>'Data Entry'!C7</f>
        <v>26</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60</v>
      </c>
      <c r="D9" s="108">
        <f>'Data Entry'!D8</f>
        <v>6</v>
      </c>
      <c r="E9" s="109" t="str">
        <f>'Black or African-American'!$G8</f>
        <v>**</v>
      </c>
      <c r="F9" s="110">
        <f>'Data Entry'!E8</f>
        <v>1</v>
      </c>
      <c r="G9" s="109" t="str">
        <f>Hispanic!G8</f>
        <v>**</v>
      </c>
      <c r="H9" s="110">
        <f>'Data Entry'!F8</f>
        <v>1</v>
      </c>
      <c r="I9" s="109" t="str">
        <f>Asian!G8</f>
        <v>*</v>
      </c>
      <c r="J9" s="110">
        <f>'Data Entry'!J8</f>
        <v>9</v>
      </c>
      <c r="K9" s="111" t="str">
        <f>'All Minorities'!G8</f>
        <v>**</v>
      </c>
      <c r="L9"/>
      <c r="N9" s="1">
        <f>'Black or African-American'!L8</f>
        <v>40</v>
      </c>
      <c r="O9" s="1">
        <f>Hispanic!L8</f>
        <v>20</v>
      </c>
      <c r="P9" s="1">
        <f>Asian!L8</f>
        <v>119</v>
      </c>
      <c r="Q9" s="1">
        <f>Hawaiian!L8</f>
        <v>139</v>
      </c>
      <c r="R9" s="1">
        <f>'Am Indian'!L8</f>
        <v>139</v>
      </c>
      <c r="S9" s="1">
        <f>'Other - Mixed'!L8</f>
        <v>119</v>
      </c>
      <c r="T9" s="1">
        <f>'All Minorities'!L8</f>
        <v>20</v>
      </c>
    </row>
    <row r="10" spans="2:30" s="1" customFormat="1" ht="15" customHeight="1">
      <c r="B10" s="121"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f>Hispanic!L9</f>
        <v>40</v>
      </c>
      <c r="P10" s="1">
        <f>Asian!L9</f>
        <v>139</v>
      </c>
      <c r="Q10" s="1" t="e">
        <f>Hawaiian!L9</f>
        <v>#VALUE!</v>
      </c>
      <c r="R10" s="1" t="e">
        <f>'Am Indian'!L9</f>
        <v>#VALUE!</v>
      </c>
      <c r="S10" s="1">
        <f>'Other - Mixed'!L9</f>
        <v>139</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43</v>
      </c>
      <c r="D12" s="112">
        <f>'Data Entry'!D11</f>
        <v>1</v>
      </c>
      <c r="E12" s="113" t="str">
        <f>'Black or African-American'!$G11</f>
        <v>**</v>
      </c>
      <c r="F12" s="114">
        <f>'Data Entry'!E11</f>
        <v>1</v>
      </c>
      <c r="G12" s="113" t="str">
        <f>Hispanic!G11</f>
        <v>**</v>
      </c>
      <c r="H12" s="114">
        <f>'Data Entry'!F11</f>
        <v>1</v>
      </c>
      <c r="I12" s="113" t="str">
        <f>Asian!G11</f>
        <v>*</v>
      </c>
      <c r="J12" s="114">
        <f>'Data Entry'!J11</f>
        <v>4</v>
      </c>
      <c r="K12" s="115" t="str">
        <f>'All Minorities'!G11</f>
        <v>**</v>
      </c>
      <c r="L12"/>
      <c r="N12" s="1">
        <f>'Black or African-American'!L11</f>
        <v>20</v>
      </c>
      <c r="O12" s="1">
        <f>Hispanic!L11</f>
        <v>40</v>
      </c>
      <c r="P12" s="1">
        <f>Asian!L11</f>
        <v>139</v>
      </c>
      <c r="Q12" s="1" t="e">
        <f>Hawaiian!L11</f>
        <v>#VALUE!</v>
      </c>
      <c r="R12" s="1" t="e">
        <f>'Am Indian'!L11</f>
        <v>#VALUE!</v>
      </c>
      <c r="S12" s="1">
        <f>'Other - Mixed'!L11</f>
        <v>139</v>
      </c>
      <c r="T12" s="1">
        <f>'All Minorities'!L11</f>
        <v>40</v>
      </c>
    </row>
    <row r="13" spans="2:30" s="1" customFormat="1" ht="15" customHeight="1">
      <c r="B13" s="121" t="s">
        <v>13</v>
      </c>
      <c r="C13" s="103">
        <f>'Data Entry'!C12</f>
        <v>24</v>
      </c>
      <c r="D13" s="108">
        <f>'Data Entry'!D12</f>
        <v>0</v>
      </c>
      <c r="E13" s="109" t="str">
        <f>'Black or African-American'!$G12</f>
        <v>**</v>
      </c>
      <c r="F13" s="110">
        <f>'Data Entry'!E12</f>
        <v>1</v>
      </c>
      <c r="G13" s="109" t="str">
        <f>Hispanic!G12</f>
        <v>**</v>
      </c>
      <c r="H13" s="110">
        <f>'Data Entry'!F12</f>
        <v>1</v>
      </c>
      <c r="I13" s="109" t="str">
        <f>Asian!G12</f>
        <v>*</v>
      </c>
      <c r="J13" s="110">
        <f>'Data Entry'!J12</f>
        <v>2</v>
      </c>
      <c r="K13" s="111" t="str">
        <f>'All Minorities'!G12</f>
        <v>**</v>
      </c>
      <c r="L13"/>
      <c r="N13" s="1">
        <f>'Black or African-American'!L12</f>
        <v>40</v>
      </c>
      <c r="O13" s="1">
        <f>Hispanic!L12</f>
        <v>40</v>
      </c>
      <c r="P13" s="1">
        <f>Asian!L12</f>
        <v>139</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7</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f>Hispanic!L14</f>
        <v>40</v>
      </c>
      <c r="P15" s="1">
        <f>Asian!L14</f>
        <v>139</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1</v>
      </c>
      <c r="E16" s="117" t="str">
        <f>'Black or African-American'!$G15</f>
        <v>**</v>
      </c>
      <c r="F16" s="118">
        <f>'Data Entry'!E15</f>
        <v>0</v>
      </c>
      <c r="G16" s="117" t="str">
        <f>Hispanic!G15</f>
        <v>--</v>
      </c>
      <c r="H16" s="118">
        <f>'Data Entry'!F15</f>
        <v>0</v>
      </c>
      <c r="I16" s="117" t="str">
        <f>Asian!G15</f>
        <v>*</v>
      </c>
      <c r="J16" s="118">
        <f>'Data Entry'!J15</f>
        <v>1</v>
      </c>
      <c r="K16" s="119" t="str">
        <f>'All Minorities'!G15</f>
        <v>**</v>
      </c>
      <c r="L16"/>
      <c r="N16" s="1">
        <f>'Black or African-American'!L15</f>
        <v>20</v>
      </c>
      <c r="O16" s="1" t="e">
        <f>Hispanic!L15</f>
        <v>#VALUE!</v>
      </c>
      <c r="P16" s="1" t="e">
        <f>Asian!L15</f>
        <v>#VALUE!</v>
      </c>
      <c r="Q16" s="1" t="e">
        <f>Hawaiian!L15</f>
        <v>#VALUE!</v>
      </c>
      <c r="R16" s="1" t="e">
        <f>'Am Indian'!L15</f>
        <v>#VALUE!</v>
      </c>
      <c r="S16" s="1" t="e">
        <f>'Other - Mixed'!L15</f>
        <v>#VALUE!</v>
      </c>
      <c r="T16" s="1">
        <f>'All Minorities'!L15</f>
        <v>20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5851</v>
      </c>
      <c r="D6" s="34"/>
      <c r="E6" s="33">
        <f>'Data Entry'!D6</f>
        <v>134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4.4436848401982569</v>
      </c>
      <c r="E7" s="33">
        <f>'Data Entry'!D7</f>
        <v>1</v>
      </c>
      <c r="F7" s="34">
        <f>IF((AND($E$7&gt;0,$D$66&gt;0)),($E$7/$D$66),0)</f>
        <v>7.4626865671641784</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133</v>
      </c>
      <c r="P7" s="42">
        <f t="shared" ref="P7:P15" si="2">C7</f>
        <v>26</v>
      </c>
      <c r="Q7" s="42">
        <f>C6-C7</f>
        <v>5825</v>
      </c>
      <c r="R7" s="42">
        <f t="shared" ref="R7:R15" si="3">SUM(N7:Q7)</f>
        <v>5985</v>
      </c>
      <c r="S7" s="30">
        <f t="shared" ref="S7:S15" si="4">R7*((((N7*Q7)-(O7*P7))^2))</f>
        <v>33532093665</v>
      </c>
      <c r="T7" s="30">
        <f t="shared" ref="T7:T15" si="5">(N7+O7)*(P7+Q7)*(N7+P7)*(O7+Q7)</f>
        <v>126124413444</v>
      </c>
      <c r="U7" s="31">
        <f t="shared" ref="U7:U15" si="6">IF((S7&gt;0),S7/T7,"- -")</f>
        <v>0.26586520998877394</v>
      </c>
    </row>
    <row r="8" spans="2:21" ht="18" customHeight="1">
      <c r="B8" s="32" t="str">
        <f>'Data Entry'!A8</f>
        <v>3. Refer to Juvenile Court</v>
      </c>
      <c r="C8" s="33">
        <f>'Data Entry'!C8</f>
        <v>60</v>
      </c>
      <c r="D8" s="34">
        <f>IF((AND(C67&gt;0,C8&gt;0)),(C8/C67),0)</f>
        <v>230.76923076923077</v>
      </c>
      <c r="E8" s="33">
        <f>'Data Entry'!D8</f>
        <v>6</v>
      </c>
      <c r="F8" s="34">
        <f>IF((AND($E$8&gt;0,$D$67&gt;0)),($E8/$D67),0)</f>
        <v>600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6</v>
      </c>
      <c r="O8" s="42">
        <f>((D67*L67)-E8)+0.05</f>
        <v>-4.95</v>
      </c>
      <c r="P8" s="42">
        <f t="shared" si="2"/>
        <v>60</v>
      </c>
      <c r="Q8" s="42">
        <f>(C$67*L67)-C8</f>
        <v>-34</v>
      </c>
      <c r="R8" s="42">
        <f t="shared" si="3"/>
        <v>27.049999999999997</v>
      </c>
      <c r="S8" s="30">
        <f t="shared" si="4"/>
        <v>233955.44999999998</v>
      </c>
      <c r="T8" s="30">
        <f t="shared" si="5"/>
        <v>-70180.11</v>
      </c>
      <c r="U8" s="31">
        <f t="shared" si="6"/>
        <v>-3.3336432502029418</v>
      </c>
    </row>
    <row r="9" spans="2:21" ht="18" customHeight="1">
      <c r="B9" s="32" t="str">
        <f>'Data Entry'!A9</f>
        <v xml:space="preserve">4. Cases Diverted </v>
      </c>
      <c r="C9" s="33">
        <f>'Data Entry'!C9</f>
        <v>3</v>
      </c>
      <c r="D9" s="34">
        <f>IF((AND(C68&gt;0,C9&gt;0)),((C9/C68)),0)</f>
        <v>5</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6</v>
      </c>
      <c r="P9" s="42">
        <f t="shared" si="2"/>
        <v>3</v>
      </c>
      <c r="Q9" s="42">
        <f>(C$68*L68)-C9</f>
        <v>57</v>
      </c>
      <c r="R9" s="42">
        <f t="shared" si="3"/>
        <v>66</v>
      </c>
      <c r="S9" s="30">
        <f t="shared" si="4"/>
        <v>21384</v>
      </c>
      <c r="T9" s="30">
        <f t="shared" si="5"/>
        <v>68040</v>
      </c>
      <c r="U9" s="31">
        <f t="shared" si="6"/>
        <v>0.31428571428571428</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6</v>
      </c>
      <c r="P10" s="42">
        <f t="shared" si="2"/>
        <v>0</v>
      </c>
      <c r="Q10" s="42">
        <f>(C$68*L68)-C10</f>
        <v>60</v>
      </c>
      <c r="R10" s="42">
        <f t="shared" si="3"/>
        <v>66</v>
      </c>
      <c r="S10" s="30">
        <f t="shared" si="4"/>
        <v>0</v>
      </c>
      <c r="T10" s="30">
        <f t="shared" si="5"/>
        <v>0</v>
      </c>
      <c r="U10" s="31" t="str">
        <f t="shared" si="6"/>
        <v>- -</v>
      </c>
    </row>
    <row r="11" spans="2:21" ht="18" customHeight="1">
      <c r="B11" s="32" t="str">
        <f>'Data Entry'!A11</f>
        <v>6. Cases Petitioned (Charge Filed)</v>
      </c>
      <c r="C11" s="33">
        <f>'Data Entry'!C11</f>
        <v>43</v>
      </c>
      <c r="D11" s="34">
        <f>IF(((AND(C68&gt;0,C11&gt;0))),(C11/(C68)),0)</f>
        <v>71.666666666666671</v>
      </c>
      <c r="E11" s="33">
        <f>'Data Entry'!D11</f>
        <v>1</v>
      </c>
      <c r="F11" s="34">
        <f>IF(((AND($E$11&gt;0,$D$68&gt;0))),($E$11/($D$68)),0)</f>
        <v>16.666666666666668</v>
      </c>
      <c r="G11" s="39" t="str">
        <f t="shared" si="7"/>
        <v>**</v>
      </c>
      <c r="H11" s="40"/>
      <c r="I11" s="41"/>
      <c r="J11" s="40">
        <f>IF((ABS($U11)&gt;Defaults!D$7),1,2)</f>
        <v>1</v>
      </c>
      <c r="K11" s="39">
        <f>IF((AND(N11&gt;Defaults!B$12,(N11+O11)&gt;Defaults!B$13, P11 &gt; Defaults!B$12, (P11+Q11) &gt; Defaults!B$13)),1,20)</f>
        <v>20</v>
      </c>
      <c r="L11" s="1">
        <f t="shared" si="8"/>
        <v>20</v>
      </c>
      <c r="M11" s="1" t="b">
        <f t="shared" si="0"/>
        <v>1</v>
      </c>
      <c r="N11" s="42">
        <f t="shared" si="1"/>
        <v>1</v>
      </c>
      <c r="O11" s="42">
        <f>(D$68*L68)-E11</f>
        <v>5</v>
      </c>
      <c r="P11" s="42">
        <f t="shared" si="2"/>
        <v>43</v>
      </c>
      <c r="Q11" s="42">
        <f>(C$68*L68)-C11</f>
        <v>17</v>
      </c>
      <c r="R11" s="42">
        <f t="shared" si="3"/>
        <v>66</v>
      </c>
      <c r="S11" s="30">
        <f t="shared" si="4"/>
        <v>2587464</v>
      </c>
      <c r="T11" s="30">
        <f t="shared" si="5"/>
        <v>348480</v>
      </c>
      <c r="U11" s="31">
        <f t="shared" si="6"/>
        <v>7.4249999999999998</v>
      </c>
    </row>
    <row r="12" spans="2:21" ht="18" customHeight="1">
      <c r="B12" s="32" t="str">
        <f>'Data Entry'!A12</f>
        <v>7. Cases Resulting in Delinquent Findings</v>
      </c>
      <c r="C12" s="33">
        <f>'Data Entry'!C12</f>
        <v>24</v>
      </c>
      <c r="D12" s="34">
        <f>IF(((AND(C69&gt;0,C12&gt;0))),(C12/(C69)),0)</f>
        <v>55.813953488372093</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1</v>
      </c>
      <c r="P12" s="42">
        <f t="shared" si="2"/>
        <v>24</v>
      </c>
      <c r="Q12" s="42">
        <f>(C69*L69)-C12</f>
        <v>19</v>
      </c>
      <c r="R12" s="42">
        <f t="shared" si="3"/>
        <v>44</v>
      </c>
      <c r="S12" s="30">
        <f t="shared" si="4"/>
        <v>25344</v>
      </c>
      <c r="T12" s="30">
        <f t="shared" si="5"/>
        <v>20640</v>
      </c>
      <c r="U12" s="31">
        <f t="shared" si="6"/>
        <v>1.2279069767441861</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24</v>
      </c>
      <c r="R13" s="42">
        <f t="shared" si="3"/>
        <v>24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7</v>
      </c>
      <c r="D14" s="34">
        <f>IF(((AND(C70&gt;0,C14&gt;0))), ((C14/(C70))),0)</f>
        <v>29.166666666666668</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7</v>
      </c>
      <c r="Q14" s="42">
        <f>(C70*L70)-C14</f>
        <v>17</v>
      </c>
      <c r="R14" s="42">
        <f t="shared" si="3"/>
        <v>24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1</v>
      </c>
      <c r="F15" s="34">
        <f>IF(((AND($D$69&gt;0,$E$15&gt;0))),(($E$15/($D$69))),0)</f>
        <v>100</v>
      </c>
      <c r="G15" s="39" t="str">
        <f t="shared" si="7"/>
        <v>**</v>
      </c>
      <c r="H15" s="40"/>
      <c r="I15" s="41"/>
      <c r="J15" s="40">
        <f>IF((ABS($U15)&gt;Defaults!D$7),1,2)</f>
        <v>1</v>
      </c>
      <c r="K15" s="39">
        <f>IF((AND(N15&gt;Defaults!B$12,(N15+O15)&gt;Defaults!B$13, P15 &gt; Defaults!B$12, (P15+Q15) &gt; Defaults!B$13)),1,20)</f>
        <v>20</v>
      </c>
      <c r="L15" s="1">
        <f t="shared" si="8"/>
        <v>20</v>
      </c>
      <c r="M15" s="1" t="b">
        <f t="shared" si="0"/>
        <v>1</v>
      </c>
      <c r="N15" s="42">
        <f t="shared" si="1"/>
        <v>1</v>
      </c>
      <c r="O15" s="42">
        <f>(D69*L69)-E15</f>
        <v>0</v>
      </c>
      <c r="P15" s="42">
        <f t="shared" si="2"/>
        <v>0</v>
      </c>
      <c r="Q15" s="42">
        <f>(C69*L69)-C15</f>
        <v>43</v>
      </c>
      <c r="R15" s="42">
        <f t="shared" si="3"/>
        <v>44</v>
      </c>
      <c r="S15" s="30">
        <f t="shared" si="4"/>
        <v>81356</v>
      </c>
      <c r="T15" s="30">
        <f t="shared" si="5"/>
        <v>1849</v>
      </c>
      <c r="U15" s="31">
        <f t="shared" si="6"/>
        <v>44</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5.851</v>
      </c>
      <c r="D42" s="56">
        <f>E6/1000</f>
        <v>0.13400000000000001</v>
      </c>
      <c r="E42" s="56">
        <f>MAX(C42:D42)</f>
        <v>5.851</v>
      </c>
      <c r="G42" s="1" t="str">
        <f>B42</f>
        <v>per 1000 youth</v>
      </c>
      <c r="L42" s="57">
        <v>1000</v>
      </c>
      <c r="M42" s="57"/>
      <c r="R42" s="49"/>
    </row>
    <row r="43" spans="2:18" ht="15" hidden="1" customHeight="1">
      <c r="B43" s="49" t="s">
        <v>87</v>
      </c>
      <c r="C43" s="56">
        <f>C7/100</f>
        <v>0.26</v>
      </c>
      <c r="D43" s="56">
        <f>E7/100</f>
        <v>0.01</v>
      </c>
      <c r="E43" s="56">
        <f>MAX(C43:D43,0)</f>
        <v>0.26</v>
      </c>
      <c r="G43" s="1" t="str">
        <f>B43</f>
        <v>per 100 arrests</v>
      </c>
      <c r="L43" s="57">
        <v>100</v>
      </c>
      <c r="M43" s="57"/>
      <c r="R43" s="49"/>
    </row>
    <row r="44" spans="2:18" ht="15" hidden="1" customHeight="1">
      <c r="B44" s="49" t="s">
        <v>88</v>
      </c>
      <c r="C44" s="56">
        <f>C8/100</f>
        <v>0.6</v>
      </c>
      <c r="D44" s="56">
        <f>E8/100</f>
        <v>0.06</v>
      </c>
      <c r="E44" s="56">
        <f>MAX(C44:D44,0)</f>
        <v>0.6</v>
      </c>
      <c r="G44" s="1" t="str">
        <f>B44</f>
        <v>per 100 referrals</v>
      </c>
      <c r="L44" s="57">
        <v>100</v>
      </c>
      <c r="M44" s="57"/>
      <c r="R44" s="49"/>
    </row>
    <row r="45" spans="2:18" ht="15" hidden="1" customHeight="1">
      <c r="B45" s="49" t="s">
        <v>89</v>
      </c>
      <c r="C45" s="49">
        <f>C11/100</f>
        <v>0.43</v>
      </c>
      <c r="D45" s="49">
        <f>E11/100</f>
        <v>0.01</v>
      </c>
      <c r="E45" s="56">
        <f>MAX(C45:D45,0)</f>
        <v>0.43</v>
      </c>
      <c r="G45" s="1" t="str">
        <f>B45</f>
        <v>per 100 youth petitioned</v>
      </c>
      <c r="L45" s="57">
        <v>100</v>
      </c>
      <c r="M45" s="57"/>
      <c r="R45" s="49"/>
    </row>
    <row r="46" spans="2:18" ht="15" hidden="1" customHeight="1">
      <c r="B46" s="49" t="s">
        <v>90</v>
      </c>
      <c r="C46" s="49">
        <f>C12/100</f>
        <v>0.24</v>
      </c>
      <c r="D46" s="49">
        <f>E12/100</f>
        <v>0</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5.851</v>
      </c>
      <c r="D48" s="56">
        <f>D42</f>
        <v>0.13400000000000001</v>
      </c>
      <c r="E48" s="56">
        <f>MAX(C48:D48)</f>
        <v>5.851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0.26</v>
      </c>
      <c r="D49" s="49">
        <f t="shared" si="9"/>
        <v>0.01</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0.06</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0.43</v>
      </c>
      <c r="D51" s="49">
        <f>IF(($E45&gt;0),D45,D44)</f>
        <v>0.01</v>
      </c>
      <c r="E51" s="49">
        <f>MAX(C51:D51)</f>
        <v>0.43</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5.851</v>
      </c>
      <c r="D54" s="56">
        <f>D48</f>
        <v>0.13400000000000001</v>
      </c>
      <c r="E54" s="56">
        <f>MAX(C54:D54)</f>
        <v>5.851</v>
      </c>
      <c r="G54" s="1" t="str">
        <f>G48</f>
        <v>per 1000 youth</v>
      </c>
      <c r="L54" s="58">
        <f>L48</f>
        <v>1000</v>
      </c>
      <c r="M54" s="58"/>
    </row>
    <row r="55" spans="2:18" ht="15" hidden="1" customHeight="1">
      <c r="B55" s="49" t="str">
        <f t="shared" ref="B55:D56" si="10">IF(($E49&gt;0),B49,B48)</f>
        <v>per 100 arrests</v>
      </c>
      <c r="C55" s="49">
        <f t="shared" si="10"/>
        <v>0.26</v>
      </c>
      <c r="D55" s="49">
        <f t="shared" si="10"/>
        <v>0.01</v>
      </c>
      <c r="E55" s="49">
        <f>MAX(C55:D55)</f>
        <v>0.26</v>
      </c>
      <c r="G55" s="1" t="str">
        <f>G49</f>
        <v>per 100 arrests</v>
      </c>
      <c r="L55" s="58">
        <f>IF(($E49&gt;0),L49,L48)</f>
        <v>100</v>
      </c>
      <c r="M55" s="58"/>
    </row>
    <row r="56" spans="2:18" ht="15" hidden="1" customHeight="1">
      <c r="B56" s="49" t="str">
        <f t="shared" si="10"/>
        <v>per 100 referrals</v>
      </c>
      <c r="C56" s="49">
        <f t="shared" si="10"/>
        <v>0.6</v>
      </c>
      <c r="D56" s="49">
        <f t="shared" si="10"/>
        <v>0.06</v>
      </c>
      <c r="E56" s="49">
        <f>MAX(C56:D56)</f>
        <v>0.6</v>
      </c>
      <c r="G56" s="1" t="str">
        <f>G50</f>
        <v>per 100 referrals</v>
      </c>
      <c r="L56" s="58">
        <f>IF(($E50&gt;0),L50,L49)</f>
        <v>100</v>
      </c>
      <c r="M56" s="58"/>
    </row>
    <row r="57" spans="2:18" ht="15" hidden="1" customHeight="1">
      <c r="B57" s="49" t="str">
        <f>IF(($E51&gt;0),B51,B49)</f>
        <v>per 100 youth petitioned</v>
      </c>
      <c r="C57" s="49">
        <f>IF(($E51&gt;0),C51,C50)</f>
        <v>0.43</v>
      </c>
      <c r="D57" s="49">
        <f>IF(($E51&gt;0),D51,D50)</f>
        <v>0.01</v>
      </c>
      <c r="E57" s="49">
        <f>MAX(C57:D57)</f>
        <v>0.43</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5.851</v>
      </c>
      <c r="D60" s="56">
        <f>D54</f>
        <v>0.13400000000000001</v>
      </c>
      <c r="E60" s="56">
        <f>MAX(C60:D60)</f>
        <v>5.851</v>
      </c>
      <c r="G60" s="1" t="str">
        <f>G54</f>
        <v>per 1000 youth</v>
      </c>
      <c r="L60" s="58">
        <f>L54</f>
        <v>1000</v>
      </c>
      <c r="M60" s="58"/>
    </row>
    <row r="61" spans="2:18" ht="15" hidden="1" customHeight="1">
      <c r="B61" s="49" t="str">
        <f t="shared" ref="B61:D62" si="11">IF(($E55&gt;0),B55,B54)</f>
        <v>per 100 arrests</v>
      </c>
      <c r="C61" s="49">
        <f t="shared" si="11"/>
        <v>0.26</v>
      </c>
      <c r="D61" s="49">
        <f t="shared" si="11"/>
        <v>0.01</v>
      </c>
      <c r="E61" s="49">
        <f>MAX(C61:D61)</f>
        <v>0.26</v>
      </c>
      <c r="G61" s="1" t="str">
        <f>G55</f>
        <v>per 100 arrests</v>
      </c>
      <c r="L61" s="58">
        <f>IF(($E55&gt;0),L55,L54)</f>
        <v>100</v>
      </c>
      <c r="M61" s="58"/>
    </row>
    <row r="62" spans="2:18" ht="15" hidden="1" customHeight="1">
      <c r="B62" s="49" t="str">
        <f t="shared" si="11"/>
        <v>per 100 referrals</v>
      </c>
      <c r="C62" s="49">
        <f t="shared" si="11"/>
        <v>0.6</v>
      </c>
      <c r="D62" s="49">
        <f t="shared" si="11"/>
        <v>0.06</v>
      </c>
      <c r="E62" s="49">
        <f>MAX(C62:D62)</f>
        <v>0.6</v>
      </c>
      <c r="G62" s="1" t="str">
        <f>G56</f>
        <v>per 100 referrals</v>
      </c>
      <c r="L62" s="58">
        <f>IF(($E56&gt;0),L56,L55)</f>
        <v>100</v>
      </c>
      <c r="M62" s="58"/>
    </row>
    <row r="63" spans="2:18" ht="15" hidden="1" customHeight="1">
      <c r="B63" s="49" t="str">
        <f>IF(($E57&gt;0),B57,B55)</f>
        <v>per 100 youth petitioned</v>
      </c>
      <c r="C63" s="49">
        <f>IF(($E57&gt;0),C57,C56)</f>
        <v>0.43</v>
      </c>
      <c r="D63" s="49">
        <f>IF(($E57&gt;0),D57,D56)</f>
        <v>0.01</v>
      </c>
      <c r="E63" s="49">
        <f>MAX(C63:D63)</f>
        <v>0.43</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5.851</v>
      </c>
      <c r="D66" s="56">
        <f>D60</f>
        <v>0.13400000000000001</v>
      </c>
      <c r="E66" s="56">
        <f>MAX(C66:D66)</f>
        <v>5.851</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0.01</v>
      </c>
      <c r="E67" s="49">
        <f>MAX(C67:D67)</f>
        <v>0.26</v>
      </c>
      <c r="G67" s="1" t="str">
        <f>G61</f>
        <v>per 100 arrests</v>
      </c>
      <c r="L67" s="58">
        <f>IF(($E61&gt;0),L61,L60)</f>
        <v>100</v>
      </c>
      <c r="M67" s="58">
        <f>IF((B67=G67),1,2)</f>
        <v>1</v>
      </c>
    </row>
    <row r="68" spans="2:13" ht="15" hidden="1" customHeight="1">
      <c r="B68" s="49" t="str">
        <f t="shared" si="12"/>
        <v>per 100 referrals</v>
      </c>
      <c r="C68" s="49">
        <f t="shared" si="12"/>
        <v>0.6</v>
      </c>
      <c r="D68" s="49">
        <f t="shared" si="12"/>
        <v>0.06</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0.43</v>
      </c>
      <c r="D69" s="49">
        <f>IF(($E63&gt;0),D63,D62)</f>
        <v>0.01</v>
      </c>
      <c r="E69" s="49">
        <f>MAX(C69:D69)</f>
        <v>0.43</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5851</v>
      </c>
      <c r="D6" s="34"/>
      <c r="E6" s="33">
        <f>'Data Entry'!F6</f>
        <v>36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4.4436848401982569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36</v>
      </c>
      <c r="P7" s="42">
        <f t="shared" ref="P7:P15" si="4">C7</f>
        <v>26</v>
      </c>
      <c r="Q7" s="42">
        <f>C6-C7</f>
        <v>5825</v>
      </c>
      <c r="R7" s="42">
        <f t="shared" ref="R7:R15" si="5">SUM(N7:Q7)</f>
        <v>5887</v>
      </c>
      <c r="S7" s="30">
        <f t="shared" ref="S7:S15" si="6">R7*((((N7*Q7)-(O7*P7))^2))</f>
        <v>5157577152</v>
      </c>
      <c r="T7" s="30">
        <f t="shared" ref="T7:T15" si="7">(N7+O7)*(P7+Q7)*(N7+P7)*(O7+Q7)</f>
        <v>32097977496</v>
      </c>
      <c r="U7" s="31">
        <f t="shared" ref="U7:U15" si="8">IF((S7&gt;0),S7/T7,"- -")</f>
        <v>0.16068230942721326</v>
      </c>
    </row>
    <row r="8" spans="2:21" ht="18" customHeight="1">
      <c r="B8" s="32" t="str">
        <f>'Data Entry'!A8</f>
        <v>3. Refer to Juvenile Court</v>
      </c>
      <c r="C8" s="33">
        <f>'Data Entry'!C8</f>
        <v>60</v>
      </c>
      <c r="D8" s="34">
        <f>IF((AND(C67&gt;0,C8&gt;0)),(C8/C67),0)</f>
        <v>230.76923076923077</v>
      </c>
      <c r="E8" s="33">
        <f>'Data Entry'!F8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60</v>
      </c>
      <c r="Q8" s="42">
        <f>(C$67*L67)-C8</f>
        <v>-34</v>
      </c>
      <c r="R8" s="42">
        <f t="shared" si="5"/>
        <v>26.049999999999997</v>
      </c>
      <c r="S8" s="30">
        <f t="shared" si="6"/>
        <v>13780.449999999999</v>
      </c>
      <c r="T8" s="30">
        <f t="shared" si="7"/>
        <v>-2771.5350000000026</v>
      </c>
      <c r="U8" s="31">
        <f t="shared" si="8"/>
        <v>-4.9721363792988313</v>
      </c>
    </row>
    <row r="9" spans="2:21" ht="18" customHeight="1">
      <c r="B9" s="32" t="str">
        <f>'Data Entry'!A9</f>
        <v xml:space="preserve">4. Cases Diverted </v>
      </c>
      <c r="C9" s="33">
        <f>'Data Entry'!C9</f>
        <v>3</v>
      </c>
      <c r="D9" s="34">
        <f>IF((AND(C68&gt;0,C9&gt;0)),((C9/C68)),0)</f>
        <v>5</v>
      </c>
      <c r="E9" s="33">
        <f>'Data Entry'!F9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3</v>
      </c>
      <c r="Q9" s="42">
        <f>(C$68*L68)-C9</f>
        <v>57</v>
      </c>
      <c r="R9" s="42">
        <f t="shared" si="5"/>
        <v>61</v>
      </c>
      <c r="S9" s="30">
        <f t="shared" si="6"/>
        <v>549</v>
      </c>
      <c r="T9" s="30">
        <f t="shared" si="7"/>
        <v>10440</v>
      </c>
      <c r="U9" s="31">
        <f t="shared" si="8"/>
        <v>5.2586206896551725E-2</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60</v>
      </c>
      <c r="R10" s="42">
        <f t="shared" si="5"/>
        <v>61</v>
      </c>
      <c r="S10" s="30">
        <f t="shared" si="6"/>
        <v>0</v>
      </c>
      <c r="T10" s="30">
        <f t="shared" si="7"/>
        <v>0</v>
      </c>
      <c r="U10" s="31" t="str">
        <f t="shared" si="8"/>
        <v>- -</v>
      </c>
    </row>
    <row r="11" spans="2:21" ht="18" customHeight="1">
      <c r="B11" s="32" t="str">
        <f>'Data Entry'!A11</f>
        <v>6. Cases Petitioned (Charge Filed)</v>
      </c>
      <c r="C11" s="33">
        <f>'Data Entry'!C11</f>
        <v>43</v>
      </c>
      <c r="D11" s="34">
        <f>IF(((AND(C68&gt;0,C11&gt;0))),(C11/(C68)),0)</f>
        <v>71.666666666666671</v>
      </c>
      <c r="E11" s="33">
        <f>'Data Entry'!F11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43</v>
      </c>
      <c r="Q11" s="42">
        <f>(C$68*L68)-C11</f>
        <v>17</v>
      </c>
      <c r="R11" s="42">
        <f t="shared" si="5"/>
        <v>61</v>
      </c>
      <c r="S11" s="30">
        <f t="shared" si="6"/>
        <v>17629</v>
      </c>
      <c r="T11" s="30">
        <f t="shared" si="7"/>
        <v>44880</v>
      </c>
      <c r="U11" s="31">
        <f t="shared" si="8"/>
        <v>0.39280303030303032</v>
      </c>
    </row>
    <row r="12" spans="2:21" ht="18" customHeight="1">
      <c r="B12" s="32" t="str">
        <f>'Data Entry'!A12</f>
        <v>7. Cases Resulting in Delinquent Findings</v>
      </c>
      <c r="C12" s="33">
        <f>'Data Entry'!C12</f>
        <v>24</v>
      </c>
      <c r="D12" s="34">
        <f>IF(((AND(C69&gt;0,C12&gt;0))),(C12/(C69)),0)</f>
        <v>55.813953488372093</v>
      </c>
      <c r="E12" s="33">
        <f>'Data Entry'!F12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24</v>
      </c>
      <c r="Q12" s="42">
        <f>(C69*L69)-C12</f>
        <v>19</v>
      </c>
      <c r="R12" s="42">
        <f t="shared" si="5"/>
        <v>44</v>
      </c>
      <c r="S12" s="30">
        <f t="shared" si="6"/>
        <v>15884</v>
      </c>
      <c r="T12" s="30">
        <f t="shared" si="7"/>
        <v>20425</v>
      </c>
      <c r="U12" s="31">
        <f t="shared" si="8"/>
        <v>0.77767441860465114</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24</v>
      </c>
      <c r="R13" s="42">
        <f t="shared" si="5"/>
        <v>25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29.166666666666668</v>
      </c>
      <c r="E14" s="33">
        <f>'Data Entry'!F14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7</v>
      </c>
      <c r="Q14" s="42">
        <f>(C70*L70)-C14</f>
        <v>17</v>
      </c>
      <c r="R14" s="42">
        <f t="shared" si="5"/>
        <v>25</v>
      </c>
      <c r="S14" s="30">
        <f t="shared" si="6"/>
        <v>1225</v>
      </c>
      <c r="T14" s="30">
        <f t="shared" si="7"/>
        <v>3024</v>
      </c>
      <c r="U14" s="31">
        <f t="shared" si="8"/>
        <v>0.40509259259259262</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43</v>
      </c>
      <c r="R15" s="42">
        <f t="shared" si="5"/>
        <v>44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5.851</v>
      </c>
      <c r="D42" s="56">
        <f>E6/1000</f>
        <v>3.5999999999999997E-2</v>
      </c>
      <c r="E42" s="56">
        <f>MAX(C42:D42)</f>
        <v>5.851</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0.6</v>
      </c>
      <c r="D44" s="56">
        <f>E8/100</f>
        <v>0.01</v>
      </c>
      <c r="E44" s="56">
        <f>MAX(C44:D44,0)</f>
        <v>0.6</v>
      </c>
      <c r="G44" s="1" t="str">
        <f>B44</f>
        <v>per 100 referrals</v>
      </c>
      <c r="L44" s="57">
        <v>100</v>
      </c>
      <c r="M44" s="57"/>
      <c r="R44" s="49"/>
    </row>
    <row r="45" spans="2:18" ht="15" hidden="1" customHeight="1">
      <c r="B45" s="49" t="s">
        <v>89</v>
      </c>
      <c r="C45" s="49">
        <f>C11/100</f>
        <v>0.43</v>
      </c>
      <c r="D45" s="49">
        <f>E11/100</f>
        <v>0.01</v>
      </c>
      <c r="E45" s="56">
        <f>MAX(C45:D45,0)</f>
        <v>0.43</v>
      </c>
      <c r="G45" s="1" t="str">
        <f>B45</f>
        <v>per 100 youth petitioned</v>
      </c>
      <c r="L45" s="57">
        <v>100</v>
      </c>
      <c r="M45" s="57"/>
      <c r="R45" s="49"/>
    </row>
    <row r="46" spans="2:18" ht="15" hidden="1" customHeight="1">
      <c r="B46" s="49" t="s">
        <v>90</v>
      </c>
      <c r="C46" s="49">
        <f>C12/100</f>
        <v>0.24</v>
      </c>
      <c r="D46" s="49">
        <f>E12/100</f>
        <v>0.01</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5.851</v>
      </c>
      <c r="D48" s="56">
        <f>D42</f>
        <v>3.5999999999999997E-2</v>
      </c>
      <c r="E48" s="56">
        <f>MAX(C48:D48)</f>
        <v>5.851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0.01</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0.43</v>
      </c>
      <c r="D51" s="49">
        <f>IF(($E45&gt;0),D45,D44)</f>
        <v>0.01</v>
      </c>
      <c r="E51" s="49">
        <f>MAX(C51:D51)</f>
        <v>0.43</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0.01</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5.851</v>
      </c>
      <c r="D54" s="56">
        <f>D48</f>
        <v>3.5999999999999997E-2</v>
      </c>
      <c r="E54" s="56">
        <f>MAX(C54:D54)</f>
        <v>5.851</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referrals</v>
      </c>
      <c r="C56" s="49">
        <f t="shared" si="10"/>
        <v>0.6</v>
      </c>
      <c r="D56" s="49">
        <f t="shared" si="10"/>
        <v>0.01</v>
      </c>
      <c r="E56" s="49">
        <f>MAX(C56:D56)</f>
        <v>0.6</v>
      </c>
      <c r="G56" s="1" t="str">
        <f>G50</f>
        <v>per 100 referrals</v>
      </c>
      <c r="L56" s="58">
        <f>IF(($E50&gt;0),L50,L49)</f>
        <v>100</v>
      </c>
      <c r="M56" s="58"/>
    </row>
    <row r="57" spans="2:18" ht="15" hidden="1" customHeight="1">
      <c r="B57" s="49" t="str">
        <f>IF(($E51&gt;0),B51,B49)</f>
        <v>per 100 youth petitioned</v>
      </c>
      <c r="C57" s="49">
        <f>IF(($E51&gt;0),C51,C50)</f>
        <v>0.43</v>
      </c>
      <c r="D57" s="49">
        <f>IF(($E51&gt;0),D51,D50)</f>
        <v>0.01</v>
      </c>
      <c r="E57" s="49">
        <f>MAX(C57:D57)</f>
        <v>0.43</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0.01</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5.851</v>
      </c>
      <c r="D60" s="56">
        <f>D54</f>
        <v>3.5999999999999997E-2</v>
      </c>
      <c r="E60" s="56">
        <f>MAX(C60:D60)</f>
        <v>5.851</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referrals</v>
      </c>
      <c r="C62" s="49">
        <f t="shared" si="11"/>
        <v>0.6</v>
      </c>
      <c r="D62" s="49">
        <f t="shared" si="11"/>
        <v>0.01</v>
      </c>
      <c r="E62" s="49">
        <f>MAX(C62:D62)</f>
        <v>0.6</v>
      </c>
      <c r="G62" s="1" t="str">
        <f>G56</f>
        <v>per 100 referrals</v>
      </c>
      <c r="L62" s="58">
        <f>IF(($E56&gt;0),L56,L55)</f>
        <v>100</v>
      </c>
      <c r="M62" s="58"/>
    </row>
    <row r="63" spans="2:18" ht="15" hidden="1" customHeight="1">
      <c r="B63" s="49" t="str">
        <f>IF(($E57&gt;0),B57,B55)</f>
        <v>per 100 youth petitioned</v>
      </c>
      <c r="C63" s="49">
        <f>IF(($E57&gt;0),C57,C56)</f>
        <v>0.43</v>
      </c>
      <c r="D63" s="49">
        <f>IF(($E57&gt;0),D57,D56)</f>
        <v>0.01</v>
      </c>
      <c r="E63" s="49">
        <f>MAX(C63:D63)</f>
        <v>0.43</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0.01</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5.851</v>
      </c>
      <c r="D66" s="56">
        <f>D60</f>
        <v>3.5999999999999997E-2</v>
      </c>
      <c r="E66" s="56">
        <f>MAX(C66:D66)</f>
        <v>5.851</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referrals</v>
      </c>
      <c r="C68" s="49">
        <f t="shared" si="12"/>
        <v>0.6</v>
      </c>
      <c r="D68" s="49">
        <f t="shared" si="12"/>
        <v>0.01</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0.43</v>
      </c>
      <c r="D69" s="49">
        <f>IF(($E63&gt;0),D63,D62)</f>
        <v>0.01</v>
      </c>
      <c r="E69" s="49">
        <f>MAX(C69:D69)</f>
        <v>0.43</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0.01</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5851</v>
      </c>
      <c r="D6" s="34"/>
      <c r="E6" s="33">
        <f>'Data Entry'!E6</f>
        <v>323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4.4436848401982569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323</v>
      </c>
      <c r="P7" s="42">
        <f t="shared" ref="P7:P15" si="4">C7</f>
        <v>26</v>
      </c>
      <c r="Q7" s="42">
        <f>C6-C7</f>
        <v>5825</v>
      </c>
      <c r="R7" s="42">
        <f t="shared" ref="R7:R15" si="5">SUM(N7:Q7)</f>
        <v>6174</v>
      </c>
      <c r="S7" s="30">
        <f t="shared" ref="S7:S15" si="6">R7*((((N7*Q7)-(O7*P7))^2))</f>
        <v>435430018296</v>
      </c>
      <c r="T7" s="30">
        <f t="shared" ref="T7:T15" si="7">(N7+O7)*(P7+Q7)*(N7+P7)*(O7+Q7)</f>
        <v>302092419304</v>
      </c>
      <c r="U7" s="31">
        <f t="shared" ref="U7:U15" si="8">IF((S7&gt;0),S7/T7,"- -")</f>
        <v>1.441380155447795</v>
      </c>
    </row>
    <row r="8" spans="2:21" ht="18" customHeight="1">
      <c r="B8" s="32" t="str">
        <f>'Data Entry'!A8</f>
        <v>3. Refer to Juvenile Court</v>
      </c>
      <c r="C8" s="33">
        <f>'Data Entry'!C8</f>
        <v>60</v>
      </c>
      <c r="D8" s="34">
        <f>IF((AND(C67&gt;0,C8&gt;0)),(C8/C67),0)</f>
        <v>230.76923076923077</v>
      </c>
      <c r="E8" s="33">
        <f>'Data Entry'!E8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60</v>
      </c>
      <c r="Q8" s="42">
        <f>(C$67*L67)-C8</f>
        <v>-34</v>
      </c>
      <c r="R8" s="42">
        <f t="shared" si="5"/>
        <v>26.049999999999997</v>
      </c>
      <c r="S8" s="30">
        <f t="shared" si="6"/>
        <v>13780.449999999999</v>
      </c>
      <c r="T8" s="30">
        <f t="shared" si="7"/>
        <v>-2771.5350000000026</v>
      </c>
      <c r="U8" s="31">
        <f t="shared" si="8"/>
        <v>-4.9721363792988313</v>
      </c>
    </row>
    <row r="9" spans="2:21" ht="18" customHeight="1">
      <c r="B9" s="32" t="str">
        <f>'Data Entry'!A9</f>
        <v xml:space="preserve">4. Cases Diverted </v>
      </c>
      <c r="C9" s="33">
        <f>'Data Entry'!C9</f>
        <v>3</v>
      </c>
      <c r="D9" s="34">
        <f>IF((AND(C68&gt;0,C9&gt;0)),((C9/C68)),0)</f>
        <v>5</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3</v>
      </c>
      <c r="Q9" s="42">
        <f>(C$68*L68)-C9</f>
        <v>57</v>
      </c>
      <c r="R9" s="42">
        <f t="shared" si="5"/>
        <v>61</v>
      </c>
      <c r="S9" s="30">
        <f t="shared" si="6"/>
        <v>549</v>
      </c>
      <c r="T9" s="30">
        <f t="shared" si="7"/>
        <v>10440</v>
      </c>
      <c r="U9" s="31">
        <f t="shared" si="8"/>
        <v>5.2586206896551725E-2</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60</v>
      </c>
      <c r="R10" s="42">
        <f t="shared" si="5"/>
        <v>61</v>
      </c>
      <c r="S10" s="30">
        <f t="shared" si="6"/>
        <v>0</v>
      </c>
      <c r="T10" s="30">
        <f t="shared" si="7"/>
        <v>0</v>
      </c>
      <c r="U10" s="31" t="str">
        <f t="shared" si="8"/>
        <v>- -</v>
      </c>
    </row>
    <row r="11" spans="2:21" ht="18" customHeight="1">
      <c r="B11" s="32" t="str">
        <f>'Data Entry'!A11</f>
        <v>6. Cases Petitioned (Charge Filed)</v>
      </c>
      <c r="C11" s="33">
        <f>'Data Entry'!C11</f>
        <v>43</v>
      </c>
      <c r="D11" s="34">
        <f>IF(((AND(C68&gt;0,C11&gt;0))),(C11/(C68)),0)</f>
        <v>71.666666666666671</v>
      </c>
      <c r="E11" s="33">
        <f>'Data Entry'!E11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43</v>
      </c>
      <c r="Q11" s="42">
        <f>(C$68*L68)-C11</f>
        <v>17</v>
      </c>
      <c r="R11" s="42">
        <f t="shared" si="5"/>
        <v>61</v>
      </c>
      <c r="S11" s="30">
        <f t="shared" si="6"/>
        <v>17629</v>
      </c>
      <c r="T11" s="30">
        <f t="shared" si="7"/>
        <v>44880</v>
      </c>
      <c r="U11" s="31">
        <f t="shared" si="8"/>
        <v>0.39280303030303032</v>
      </c>
    </row>
    <row r="12" spans="2:21" ht="18" customHeight="1">
      <c r="B12" s="32" t="str">
        <f>'Data Entry'!A12</f>
        <v>7. Cases Resulting in Delinquent Findings</v>
      </c>
      <c r="C12" s="33">
        <f>'Data Entry'!C12</f>
        <v>24</v>
      </c>
      <c r="D12" s="34">
        <f>IF(((AND(C69&gt;0,C12&gt;0))),(C12/(C69)),0)</f>
        <v>55.813953488372093</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24</v>
      </c>
      <c r="Q12" s="42">
        <f>(C69*L69)-C12</f>
        <v>19</v>
      </c>
      <c r="R12" s="42">
        <f t="shared" si="5"/>
        <v>44</v>
      </c>
      <c r="S12" s="30">
        <f t="shared" si="6"/>
        <v>15884</v>
      </c>
      <c r="T12" s="30">
        <f t="shared" si="7"/>
        <v>20425</v>
      </c>
      <c r="U12" s="31">
        <f t="shared" si="8"/>
        <v>0.77767441860465114</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24</v>
      </c>
      <c r="R13" s="42">
        <f t="shared" si="5"/>
        <v>25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29.166666666666668</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7</v>
      </c>
      <c r="Q14" s="42">
        <f>(C70*L70)-C14</f>
        <v>17</v>
      </c>
      <c r="R14" s="42">
        <f t="shared" si="5"/>
        <v>25</v>
      </c>
      <c r="S14" s="30">
        <f t="shared" si="6"/>
        <v>1225</v>
      </c>
      <c r="T14" s="30">
        <f t="shared" si="7"/>
        <v>3024</v>
      </c>
      <c r="U14" s="31">
        <f t="shared" si="8"/>
        <v>0.40509259259259262</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43</v>
      </c>
      <c r="R15" s="42">
        <f t="shared" si="5"/>
        <v>44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5.851</v>
      </c>
      <c r="D42" s="56">
        <f>E6/1000</f>
        <v>0.32300000000000001</v>
      </c>
      <c r="E42" s="56">
        <f>MAX(C42:D42)</f>
        <v>5.851</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0.6</v>
      </c>
      <c r="D44" s="56">
        <f>E8/100</f>
        <v>0.01</v>
      </c>
      <c r="E44" s="56">
        <f>MAX(C44:D44,0)</f>
        <v>0.6</v>
      </c>
      <c r="G44" s="1" t="str">
        <f>B44</f>
        <v>per 100 referrals</v>
      </c>
      <c r="L44" s="57">
        <v>100</v>
      </c>
      <c r="M44" s="57"/>
      <c r="R44" s="49"/>
    </row>
    <row r="45" spans="2:18" ht="15" hidden="1" customHeight="1">
      <c r="B45" s="49" t="s">
        <v>89</v>
      </c>
      <c r="C45" s="49">
        <f>C11/100</f>
        <v>0.43</v>
      </c>
      <c r="D45" s="49">
        <f>E11/100</f>
        <v>0.01</v>
      </c>
      <c r="E45" s="56">
        <f>MAX(C45:D45,0)</f>
        <v>0.43</v>
      </c>
      <c r="G45" s="1" t="str">
        <f>B45</f>
        <v>per 100 youth petitioned</v>
      </c>
      <c r="L45" s="57">
        <v>100</v>
      </c>
      <c r="M45" s="57"/>
      <c r="R45" s="49"/>
    </row>
    <row r="46" spans="2:18" ht="15" hidden="1" customHeight="1">
      <c r="B46" s="49" t="s">
        <v>90</v>
      </c>
      <c r="C46" s="49">
        <f>C12/100</f>
        <v>0.24</v>
      </c>
      <c r="D46" s="49">
        <f>E12/100</f>
        <v>0.01</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5.851</v>
      </c>
      <c r="D48" s="56">
        <f>D42</f>
        <v>0.32300000000000001</v>
      </c>
      <c r="E48" s="56">
        <f>MAX(C48:D48)</f>
        <v>5.851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0.01</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0.43</v>
      </c>
      <c r="D51" s="49">
        <f>IF(($E45&gt;0),D45,D44)</f>
        <v>0.01</v>
      </c>
      <c r="E51" s="49">
        <f>MAX(C51:D51)</f>
        <v>0.43</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0.01</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5.851</v>
      </c>
      <c r="D54" s="56">
        <f>D48</f>
        <v>0.32300000000000001</v>
      </c>
      <c r="E54" s="56">
        <f>MAX(C54:D54)</f>
        <v>5.851</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referrals</v>
      </c>
      <c r="C56" s="49">
        <f t="shared" si="10"/>
        <v>0.6</v>
      </c>
      <c r="D56" s="49">
        <f t="shared" si="10"/>
        <v>0.01</v>
      </c>
      <c r="E56" s="49">
        <f>MAX(C56:D56)</f>
        <v>0.6</v>
      </c>
      <c r="G56" s="1" t="str">
        <f>G50</f>
        <v>per 100 referrals</v>
      </c>
      <c r="L56" s="58">
        <f>IF(($E50&gt;0),L50,L49)</f>
        <v>100</v>
      </c>
      <c r="M56" s="58"/>
    </row>
    <row r="57" spans="2:18" ht="15" hidden="1" customHeight="1">
      <c r="B57" s="49" t="str">
        <f>IF(($E51&gt;0),B51,B49)</f>
        <v>per 100 youth petitioned</v>
      </c>
      <c r="C57" s="49">
        <f>IF(($E51&gt;0),C51,C50)</f>
        <v>0.43</v>
      </c>
      <c r="D57" s="49">
        <f>IF(($E51&gt;0),D51,D50)</f>
        <v>0.01</v>
      </c>
      <c r="E57" s="49">
        <f>MAX(C57:D57)</f>
        <v>0.43</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0.01</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5.851</v>
      </c>
      <c r="D60" s="56">
        <f>D54</f>
        <v>0.32300000000000001</v>
      </c>
      <c r="E60" s="56">
        <f>MAX(C60:D60)</f>
        <v>5.851</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referrals</v>
      </c>
      <c r="C62" s="49">
        <f t="shared" si="11"/>
        <v>0.6</v>
      </c>
      <c r="D62" s="49">
        <f t="shared" si="11"/>
        <v>0.01</v>
      </c>
      <c r="E62" s="49">
        <f>MAX(C62:D62)</f>
        <v>0.6</v>
      </c>
      <c r="G62" s="1" t="str">
        <f>G56</f>
        <v>per 100 referrals</v>
      </c>
      <c r="L62" s="58">
        <f>IF(($E56&gt;0),L56,L55)</f>
        <v>100</v>
      </c>
      <c r="M62" s="58"/>
    </row>
    <row r="63" spans="2:18" ht="15" hidden="1" customHeight="1">
      <c r="B63" s="49" t="str">
        <f>IF(($E57&gt;0),B57,B55)</f>
        <v>per 100 youth petitioned</v>
      </c>
      <c r="C63" s="49">
        <f>IF(($E57&gt;0),C57,C56)</f>
        <v>0.43</v>
      </c>
      <c r="D63" s="49">
        <f>IF(($E57&gt;0),D57,D56)</f>
        <v>0.01</v>
      </c>
      <c r="E63" s="49">
        <f>MAX(C63:D63)</f>
        <v>0.43</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0.01</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5.851</v>
      </c>
      <c r="D66" s="56">
        <f>D60</f>
        <v>0.32300000000000001</v>
      </c>
      <c r="E66" s="56">
        <f>MAX(C66:D66)</f>
        <v>5.851</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referrals</v>
      </c>
      <c r="C68" s="49">
        <f t="shared" si="12"/>
        <v>0.6</v>
      </c>
      <c r="D68" s="49">
        <f t="shared" si="12"/>
        <v>0.01</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0.43</v>
      </c>
      <c r="D69" s="49">
        <f>IF(($E63&gt;0),D63,D62)</f>
        <v>0.01</v>
      </c>
      <c r="E69" s="49">
        <f>MAX(C69:D69)</f>
        <v>0.43</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0.01</v>
      </c>
      <c r="E70" s="56">
        <f>MAX(C70:D70)</f>
        <v>0.24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5851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4.4436848401982569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26</v>
      </c>
      <c r="Q7" s="42">
        <f>C6-C7</f>
        <v>5825</v>
      </c>
      <c r="R7" s="42">
        <f t="shared" ref="R7:R15" si="5">SUM(N7:Q7)</f>
        <v>5851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60</v>
      </c>
      <c r="D8" s="34">
        <f>IF((AND(C67&gt;0,C8&gt;0)),(C8/C67),0)</f>
        <v>230.76923076923077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60</v>
      </c>
      <c r="Q8" s="42">
        <f>(C$67*L67)-C8</f>
        <v>-34</v>
      </c>
      <c r="R8" s="42">
        <f t="shared" si="5"/>
        <v>26.049999999999997</v>
      </c>
      <c r="S8" s="30">
        <f t="shared" si="6"/>
        <v>234.45</v>
      </c>
      <c r="T8" s="30">
        <f t="shared" si="7"/>
        <v>-2648.1000000000004</v>
      </c>
      <c r="U8" s="31">
        <f t="shared" si="8"/>
        <v>-8.853517616404212E-2</v>
      </c>
    </row>
    <row r="9" spans="2:21" ht="18" customHeight="1">
      <c r="B9" s="32" t="str">
        <f>'Data Entry'!A9</f>
        <v xml:space="preserve">4. Cases Diverted </v>
      </c>
      <c r="C9" s="33">
        <f>'Data Entry'!C9</f>
        <v>3</v>
      </c>
      <c r="D9" s="34">
        <f>IF((AND(C68&gt;0,C9&gt;0)),((C9/C68)),0)</f>
        <v>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57</v>
      </c>
      <c r="R9" s="42">
        <f t="shared" si="5"/>
        <v>60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60</v>
      </c>
      <c r="R10" s="42">
        <f t="shared" si="5"/>
        <v>60</v>
      </c>
      <c r="S10" s="30">
        <f t="shared" si="6"/>
        <v>0</v>
      </c>
      <c r="T10" s="30">
        <f t="shared" si="7"/>
        <v>0</v>
      </c>
      <c r="U10" s="31" t="str">
        <f t="shared" si="8"/>
        <v>- -</v>
      </c>
    </row>
    <row r="11" spans="2:21" ht="18" customHeight="1">
      <c r="B11" s="32" t="str">
        <f>'Data Entry'!A11</f>
        <v>6. Cases Petitioned (Charge Filed)</v>
      </c>
      <c r="C11" s="33">
        <f>'Data Entry'!C11</f>
        <v>43</v>
      </c>
      <c r="D11" s="34">
        <f>IF(((AND(C68&gt;0,C11&gt;0))),(C11/(C68)),0)</f>
        <v>71.666666666666671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43</v>
      </c>
      <c r="Q11" s="42">
        <f>(C$68*L68)-C11</f>
        <v>17</v>
      </c>
      <c r="R11" s="42">
        <f t="shared" si="5"/>
        <v>60</v>
      </c>
      <c r="S11" s="30">
        <f t="shared" si="6"/>
        <v>0</v>
      </c>
      <c r="T11" s="30">
        <f t="shared" si="7"/>
        <v>0</v>
      </c>
      <c r="U11" s="31" t="str">
        <f t="shared" si="8"/>
        <v>- -</v>
      </c>
    </row>
    <row r="12" spans="2:21" ht="18" customHeight="1">
      <c r="B12" s="32" t="str">
        <f>'Data Entry'!A12</f>
        <v>7. Cases Resulting in Delinquent Findings</v>
      </c>
      <c r="C12" s="33">
        <f>'Data Entry'!C12</f>
        <v>24</v>
      </c>
      <c r="D12" s="34">
        <f>IF(((AND(C69&gt;0,C12&gt;0))),(C12/(C69)),0)</f>
        <v>55.813953488372093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19</v>
      </c>
      <c r="R12" s="42">
        <f t="shared" si="5"/>
        <v>43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24</v>
      </c>
      <c r="R13" s="42">
        <f t="shared" si="5"/>
        <v>24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29.166666666666668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17</v>
      </c>
      <c r="R14" s="42">
        <f t="shared" si="5"/>
        <v>24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43</v>
      </c>
      <c r="R15" s="42">
        <f t="shared" si="5"/>
        <v>43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5.851</v>
      </c>
      <c r="D42" s="56">
        <f>E6/1000</f>
        <v>0</v>
      </c>
      <c r="E42" s="56">
        <f>MAX(C42:D42)</f>
        <v>5.851</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0.6</v>
      </c>
      <c r="D44" s="56">
        <f>E8/100</f>
        <v>0</v>
      </c>
      <c r="E44" s="56">
        <f>MAX(C44:D44,0)</f>
        <v>0.6</v>
      </c>
      <c r="G44" s="1" t="str">
        <f>B44</f>
        <v>per 100 referrals</v>
      </c>
      <c r="L44" s="57">
        <v>100</v>
      </c>
      <c r="M44" s="57"/>
      <c r="R44" s="49"/>
    </row>
    <row r="45" spans="2:18" ht="15" hidden="1" customHeight="1">
      <c r="B45" s="49" t="s">
        <v>89</v>
      </c>
      <c r="C45" s="49">
        <f>C11/100</f>
        <v>0.43</v>
      </c>
      <c r="D45" s="49">
        <f>E11/100</f>
        <v>0</v>
      </c>
      <c r="E45" s="56">
        <f>MAX(C45:D45,0)</f>
        <v>0.43</v>
      </c>
      <c r="G45" s="1" t="str">
        <f>B45</f>
        <v>per 100 youth petitioned</v>
      </c>
      <c r="L45" s="57">
        <v>100</v>
      </c>
      <c r="M45" s="57"/>
      <c r="R45" s="49"/>
    </row>
    <row r="46" spans="2:18" ht="15" hidden="1" customHeight="1">
      <c r="B46" s="49" t="s">
        <v>90</v>
      </c>
      <c r="C46" s="49">
        <f>C12/100</f>
        <v>0.24</v>
      </c>
      <c r="D46" s="49">
        <f>E12/100</f>
        <v>0</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5.851</v>
      </c>
      <c r="D48" s="56">
        <f>D42</f>
        <v>0</v>
      </c>
      <c r="E48" s="56">
        <f>MAX(C48:D48)</f>
        <v>5.851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0.43</v>
      </c>
      <c r="D51" s="49">
        <f>IF(($E45&gt;0),D45,D44)</f>
        <v>0</v>
      </c>
      <c r="E51" s="49">
        <f>MAX(C51:D51)</f>
        <v>0.43</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5.851</v>
      </c>
      <c r="D54" s="56">
        <f>D48</f>
        <v>0</v>
      </c>
      <c r="E54" s="56">
        <f>MAX(C54:D54)</f>
        <v>5.851</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youth petitioned</v>
      </c>
      <c r="C57" s="49">
        <f>IF(($E51&gt;0),C51,C50)</f>
        <v>0.43</v>
      </c>
      <c r="D57" s="49">
        <f>IF(($E51&gt;0),D51,D50)</f>
        <v>0</v>
      </c>
      <c r="E57" s="49">
        <f>MAX(C57:D57)</f>
        <v>0.43</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5.851</v>
      </c>
      <c r="D60" s="56">
        <f>D54</f>
        <v>0</v>
      </c>
      <c r="E60" s="56">
        <f>MAX(C60:D60)</f>
        <v>5.851</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youth petitioned</v>
      </c>
      <c r="C63" s="49">
        <f>IF(($E57&gt;0),C57,C56)</f>
        <v>0.43</v>
      </c>
      <c r="D63" s="49">
        <f>IF(($E57&gt;0),D57,D56)</f>
        <v>0</v>
      </c>
      <c r="E63" s="49">
        <f>MAX(C63:D63)</f>
        <v>0.43</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5.851</v>
      </c>
      <c r="D66" s="56">
        <f>D60</f>
        <v>0</v>
      </c>
      <c r="E66" s="56">
        <f>MAX(C66:D66)</f>
        <v>5.851</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0.43</v>
      </c>
      <c r="D69" s="49">
        <f>IF(($E63&gt;0),D63,D62)</f>
        <v>0</v>
      </c>
      <c r="E69" s="49">
        <f>MAX(C69:D69)</f>
        <v>0.43</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Barry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5851</v>
      </c>
      <c r="D6" s="34"/>
      <c r="E6" s="33">
        <f>'Data Entry'!H6</f>
        <v>38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4.4436848401982569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38</v>
      </c>
      <c r="P7" s="42">
        <f t="shared" ref="P7:P15" si="4">C7</f>
        <v>26</v>
      </c>
      <c r="Q7" s="42">
        <f>C6-C7</f>
        <v>5825</v>
      </c>
      <c r="R7" s="42">
        <f t="shared" ref="R7:R15" si="5">SUM(N7:Q7)</f>
        <v>5889</v>
      </c>
      <c r="S7" s="30">
        <f t="shared" ref="S7:S15" si="6">R7*((((N7*Q7)-(O7*P7))^2))</f>
        <v>5748512016</v>
      </c>
      <c r="T7" s="30">
        <f t="shared" ref="T7:T15" si="7">(N7+O7)*(P7+Q7)*(N7+P7)*(O7+Q7)</f>
        <v>33892760044</v>
      </c>
      <c r="U7" s="31">
        <f t="shared" ref="U7:U15" si="8">IF((S7&gt;0),S7/T7,"- -")</f>
        <v>0.16960884886734542</v>
      </c>
    </row>
    <row r="8" spans="2:21" ht="18" customHeight="1">
      <c r="B8" s="32" t="str">
        <f>'Data Entry'!A8</f>
        <v>3. Refer to Juvenile Court</v>
      </c>
      <c r="C8" s="33">
        <f>'Data Entry'!C8</f>
        <v>60</v>
      </c>
      <c r="D8" s="34">
        <f>IF((AND(C67&gt;0,C8&gt;0)),(C8/C67),0)</f>
        <v>230.76923076923077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60</v>
      </c>
      <c r="Q8" s="42">
        <f>(C$67*L67)-C8</f>
        <v>-34</v>
      </c>
      <c r="R8" s="42">
        <f t="shared" si="5"/>
        <v>26.049999999999997</v>
      </c>
      <c r="S8" s="30">
        <f t="shared" si="6"/>
        <v>234.45</v>
      </c>
      <c r="T8" s="30">
        <f t="shared" si="7"/>
        <v>-2648.1000000000004</v>
      </c>
      <c r="U8" s="31">
        <f t="shared" si="8"/>
        <v>-8.853517616404212E-2</v>
      </c>
    </row>
    <row r="9" spans="2:21" ht="18" customHeight="1">
      <c r="B9" s="32" t="str">
        <f>'Data Entry'!A9</f>
        <v xml:space="preserve">4. Cases Diverted </v>
      </c>
      <c r="C9" s="33">
        <f>'Data Entry'!C9</f>
        <v>3</v>
      </c>
      <c r="D9" s="34">
        <f>IF((AND(C68&gt;0,C9&gt;0)),((C9/C68)),0)</f>
        <v>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57</v>
      </c>
      <c r="R9" s="42">
        <f t="shared" si="5"/>
        <v>60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60</v>
      </c>
      <c r="R10" s="42">
        <f t="shared" si="5"/>
        <v>60</v>
      </c>
      <c r="S10" s="30">
        <f t="shared" si="6"/>
        <v>0</v>
      </c>
      <c r="T10" s="30">
        <f t="shared" si="7"/>
        <v>0</v>
      </c>
      <c r="U10" s="31" t="str">
        <f t="shared" si="8"/>
        <v>- -</v>
      </c>
    </row>
    <row r="11" spans="2:21" ht="18" customHeight="1">
      <c r="B11" s="32" t="str">
        <f>'Data Entry'!A11</f>
        <v>6. Cases Petitioned (Charge Filed)</v>
      </c>
      <c r="C11" s="33">
        <f>'Data Entry'!C11</f>
        <v>43</v>
      </c>
      <c r="D11" s="34">
        <f>IF(((AND(C68&gt;0,C11&gt;0))),(C11/(C68)),0)</f>
        <v>71.666666666666671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43</v>
      </c>
      <c r="Q11" s="42">
        <f>(C$68*L68)-C11</f>
        <v>17</v>
      </c>
      <c r="R11" s="42">
        <f t="shared" si="5"/>
        <v>60</v>
      </c>
      <c r="S11" s="30">
        <f t="shared" si="6"/>
        <v>0</v>
      </c>
      <c r="T11" s="30">
        <f t="shared" si="7"/>
        <v>0</v>
      </c>
      <c r="U11" s="31" t="str">
        <f t="shared" si="8"/>
        <v>- -</v>
      </c>
    </row>
    <row r="12" spans="2:21" ht="18" customHeight="1">
      <c r="B12" s="32" t="str">
        <f>'Data Entry'!A12</f>
        <v>7. Cases Resulting in Delinquent Findings</v>
      </c>
      <c r="C12" s="33">
        <f>'Data Entry'!C12</f>
        <v>24</v>
      </c>
      <c r="D12" s="34">
        <f>IF(((AND(C69&gt;0,C12&gt;0))),(C12/(C69)),0)</f>
        <v>55.813953488372093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19</v>
      </c>
      <c r="R12" s="42">
        <f t="shared" si="5"/>
        <v>43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24</v>
      </c>
      <c r="R13" s="42">
        <f t="shared" si="5"/>
        <v>24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29.166666666666668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17</v>
      </c>
      <c r="R14" s="42">
        <f t="shared" si="5"/>
        <v>24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43</v>
      </c>
      <c r="R15" s="42">
        <f t="shared" si="5"/>
        <v>43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5.851</v>
      </c>
      <c r="D42" s="56">
        <f>E6/1000</f>
        <v>3.7999999999999999E-2</v>
      </c>
      <c r="E42" s="56">
        <f>MAX(C42:D42)</f>
        <v>5.851</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0.6</v>
      </c>
      <c r="D44" s="56">
        <f>E8/100</f>
        <v>0</v>
      </c>
      <c r="E44" s="56">
        <f>MAX(C44:D44,0)</f>
        <v>0.6</v>
      </c>
      <c r="G44" s="1" t="str">
        <f>B44</f>
        <v>per 100 referrals</v>
      </c>
      <c r="L44" s="57">
        <v>100</v>
      </c>
      <c r="M44" s="57"/>
      <c r="R44" s="49"/>
    </row>
    <row r="45" spans="2:18" ht="15" hidden="1" customHeight="1">
      <c r="B45" s="49" t="s">
        <v>89</v>
      </c>
      <c r="C45" s="49">
        <f>C11/100</f>
        <v>0.43</v>
      </c>
      <c r="D45" s="49">
        <f>E11/100</f>
        <v>0</v>
      </c>
      <c r="E45" s="56">
        <f>MAX(C45:D45,0)</f>
        <v>0.43</v>
      </c>
      <c r="G45" s="1" t="str">
        <f>B45</f>
        <v>per 100 youth petitioned</v>
      </c>
      <c r="L45" s="57">
        <v>100</v>
      </c>
      <c r="M45" s="57"/>
      <c r="R45" s="49"/>
    </row>
    <row r="46" spans="2:18" ht="15" hidden="1" customHeight="1">
      <c r="B46" s="49" t="s">
        <v>90</v>
      </c>
      <c r="C46" s="49">
        <f>C12/100</f>
        <v>0.24</v>
      </c>
      <c r="D46" s="49">
        <f>E12/100</f>
        <v>0</v>
      </c>
      <c r="E46" s="56">
        <f>MAX(C46:D46)</f>
        <v>0.24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5.851</v>
      </c>
      <c r="D48" s="56">
        <f>D42</f>
        <v>3.7999999999999999E-2</v>
      </c>
      <c r="E48" s="56">
        <f>MAX(C48:D48)</f>
        <v>5.851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0.43</v>
      </c>
      <c r="D51" s="49">
        <f>IF(($E45&gt;0),D45,D44)</f>
        <v>0</v>
      </c>
      <c r="E51" s="49">
        <f>MAX(C51:D51)</f>
        <v>0.43</v>
      </c>
      <c r="G51" s="1" t="str">
        <f>G45</f>
        <v>per 100 youth petitioned</v>
      </c>
      <c r="L51" s="58">
        <f>IF(($E45&gt;0),L45,L44)</f>
        <v>100</v>
      </c>
      <c r="M51" s="58"/>
    </row>
    <row r="52" spans="2:18" ht="15" hidden="1" customHeight="1">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5.851</v>
      </c>
      <c r="D54" s="56">
        <f>D48</f>
        <v>3.7999999999999999E-2</v>
      </c>
      <c r="E54" s="56">
        <f>MAX(C54:D54)</f>
        <v>5.851</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youth petitioned</v>
      </c>
      <c r="C57" s="49">
        <f>IF(($E51&gt;0),C51,C50)</f>
        <v>0.43</v>
      </c>
      <c r="D57" s="49">
        <f>IF(($E51&gt;0),D51,D50)</f>
        <v>0</v>
      </c>
      <c r="E57" s="49">
        <f>MAX(C57:D57)</f>
        <v>0.43</v>
      </c>
      <c r="G57" s="1" t="str">
        <f>G51</f>
        <v>per 100 youth petitioned</v>
      </c>
      <c r="L57" s="58">
        <f>IF(($E51&gt;0),L51,L50)</f>
        <v>100</v>
      </c>
      <c r="M57" s="58"/>
    </row>
    <row r="58" spans="2:18" ht="15" hidden="1" customHeight="1">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5.851</v>
      </c>
      <c r="D60" s="56">
        <f>D54</f>
        <v>3.7999999999999999E-2</v>
      </c>
      <c r="E60" s="56">
        <f>MAX(C60:D60)</f>
        <v>5.851</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youth petitioned</v>
      </c>
      <c r="C63" s="49">
        <f>IF(($E57&gt;0),C57,C56)</f>
        <v>0.43</v>
      </c>
      <c r="D63" s="49">
        <f>IF(($E57&gt;0),D57,D56)</f>
        <v>0</v>
      </c>
      <c r="E63" s="49">
        <f>MAX(C63:D63)</f>
        <v>0.43</v>
      </c>
      <c r="G63" s="1" t="str">
        <f>G57</f>
        <v>per 100 youth petitioned</v>
      </c>
      <c r="L63" s="58">
        <f>IF(($E57&gt;0),L57,L56)</f>
        <v>100</v>
      </c>
      <c r="M63" s="58"/>
    </row>
    <row r="64" spans="2:18" ht="15" hidden="1" customHeight="1">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5.851</v>
      </c>
      <c r="D66" s="56">
        <f>D60</f>
        <v>3.7999999999999999E-2</v>
      </c>
      <c r="E66" s="56">
        <f>MAX(C66:D66)</f>
        <v>5.851</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0.43</v>
      </c>
      <c r="D69" s="49">
        <f>IF(($E63&gt;0),D63,D62)</f>
        <v>0</v>
      </c>
      <c r="E69" s="49">
        <f>MAX(C69:D69)</f>
        <v>0.43</v>
      </c>
      <c r="G69" s="1" t="str">
        <f>G63</f>
        <v>per 100 youth petitioned</v>
      </c>
      <c r="L69" s="58">
        <f>IF(($E63&gt;0),L63,L62)</f>
        <v>100</v>
      </c>
      <c r="M69" s="58">
        <f>IF((B69=G69),1,2)</f>
        <v>1</v>
      </c>
    </row>
    <row r="70" spans="2:13" ht="15" hidden="1" customHeight="1">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U47JMPN4QEAR-1806752177-30436</_dlc_DocId>
    <_dlc_DocIdUrl xmlns="ac3811b5-0f3e-49e2-ba69-f2ffa0c782af">
      <Url>https://michiganphi.sharepoint.com/sites/CMDMC/_layouts/15/DocIdRedir.aspx?ID=U47JMPN4QEAR-1806752177-30436</Url>
      <Description>U47JMPN4QEAR-1806752177-30436</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79F1B8E-46A4-4E0E-BDA0-83F23410BC6B}">
  <ds:schemaRefs>
    <ds:schemaRef ds:uri="http://schemas.microsoft.com/sharepoint/v3/contenttype/forms"/>
  </ds:schemaRefs>
</ds:datastoreItem>
</file>

<file path=customXml/itemProps2.xml><?xml version="1.0" encoding="utf-8"?>
<ds:datastoreItem xmlns:ds="http://schemas.openxmlformats.org/officeDocument/2006/customXml" ds:itemID="{54443AEE-57EB-472A-BA02-92831C654578}">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6E475F1B-715B-4A90-9B17-8739062EE68D}"/>
</file>

<file path=customXml/itemProps4.xml><?xml version="1.0" encoding="utf-8"?>
<ds:datastoreItem xmlns:ds="http://schemas.openxmlformats.org/officeDocument/2006/customXml" ds:itemID="{62847998-532B-4174-9D3C-7A14A54650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c6186a99-7fe5-41b0-9862-4c06ef0d1fcd</vt:lpwstr>
  </property>
</Properties>
</file>