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5F2B616D-5440-4D82-BB2B-39AD25E02B0A}"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c r="F27" i="2" s="1"/>
  <c r="J27" i="2"/>
  <c r="G42" i="2"/>
  <c r="G48" i="2"/>
  <c r="G54" i="2"/>
  <c r="G60" i="2"/>
  <c r="G66" i="2" s="1"/>
  <c r="M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c r="B66" i="3"/>
  <c r="J27" i="3"/>
  <c r="G42" i="3"/>
  <c r="G43" i="3"/>
  <c r="G49" i="3"/>
  <c r="G55" i="3"/>
  <c r="G61" i="3"/>
  <c r="G67" i="3" s="1"/>
  <c r="G44" i="3"/>
  <c r="G50" i="3" s="1"/>
  <c r="G56" i="3" s="1"/>
  <c r="G62" i="3" s="1"/>
  <c r="G68" i="3" s="1"/>
  <c r="G45" i="3"/>
  <c r="G46" i="3"/>
  <c r="G48" i="3"/>
  <c r="G54" i="3"/>
  <c r="G60" i="3"/>
  <c r="G66" i="3"/>
  <c r="L48" i="3"/>
  <c r="G51" i="3"/>
  <c r="G57" i="3" s="1"/>
  <c r="G63" i="3" s="1"/>
  <c r="G69" i="3" s="1"/>
  <c r="G52" i="3"/>
  <c r="G58" i="3"/>
  <c r="G64" i="3" s="1"/>
  <c r="G70" i="3" s="1"/>
  <c r="L54" i="3"/>
  <c r="L60" i="3"/>
  <c r="L66" i="3"/>
  <c r="F1" i="4"/>
  <c r="B2" i="4"/>
  <c r="B3" i="4"/>
  <c r="B6" i="4"/>
  <c r="B7" i="4"/>
  <c r="B8" i="4"/>
  <c r="B9" i="4"/>
  <c r="E9" i="4"/>
  <c r="N9" i="4" s="1"/>
  <c r="B10" i="4"/>
  <c r="B11" i="4"/>
  <c r="B12" i="4"/>
  <c r="B13" i="4"/>
  <c r="B14" i="4"/>
  <c r="B15" i="4"/>
  <c r="B48" i="4"/>
  <c r="B54" i="4"/>
  <c r="B60" i="4"/>
  <c r="B66" i="4"/>
  <c r="J27" i="4"/>
  <c r="G42" i="4"/>
  <c r="G48" i="4" s="1"/>
  <c r="G54" i="4" s="1"/>
  <c r="G60" i="4" s="1"/>
  <c r="G66" i="4" s="1"/>
  <c r="M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G51" i="8"/>
  <c r="G57" i="8" s="1"/>
  <c r="G63" i="8" s="1"/>
  <c r="G69" i="8" s="1"/>
  <c r="L54" i="8"/>
  <c r="L60" i="8"/>
  <c r="L66"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c r="F27" i="3"/>
  <c r="M66" i="3"/>
  <c r="M66" i="6" l="1"/>
  <c r="F27" i="6"/>
  <c r="M66" i="7"/>
  <c r="F27" i="7"/>
  <c r="M66" i="8"/>
  <c r="F27" i="8"/>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E43" i="7" s="1"/>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E44" i="6"/>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D64" i="5"/>
  <c r="E64" i="5" s="1"/>
  <c r="L64" i="3"/>
  <c r="B56" i="8"/>
  <c r="C57" i="8"/>
  <c r="C64" i="8" s="1"/>
  <c r="L56" i="8"/>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B70" i="3"/>
  <c r="M70" i="3" s="1"/>
  <c r="D70" i="6"/>
  <c r="F13" i="6" s="1"/>
  <c r="L69" i="7"/>
  <c r="C69" i="7"/>
  <c r="D12" i="7" s="1"/>
  <c r="E63" i="3"/>
  <c r="C69" i="3" s="1"/>
  <c r="D12" i="3" s="1"/>
  <c r="C63" i="8"/>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14" i="3" l="1"/>
  <c r="D15" i="3"/>
  <c r="B69" i="6"/>
  <c r="M69" i="6" s="1"/>
  <c r="F14" i="6"/>
  <c r="E63" i="8"/>
  <c r="D69" i="8" s="1"/>
  <c r="F15" i="8" s="1"/>
  <c r="F34" i="3"/>
  <c r="L69" i="3"/>
  <c r="Q12" i="3" s="1"/>
  <c r="F33" i="3"/>
  <c r="Q12" i="7"/>
  <c r="Q13" i="8"/>
  <c r="E70" i="6"/>
  <c r="O14" i="6"/>
  <c r="D13" i="3"/>
  <c r="E69" i="7"/>
  <c r="B69" i="3"/>
  <c r="M69" i="3" s="1"/>
  <c r="D15" i="7"/>
  <c r="Q15" i="7"/>
  <c r="D69" i="3"/>
  <c r="E69" i="3" s="1"/>
  <c r="E70" i="3"/>
  <c r="O13" i="6"/>
  <c r="O13" i="3"/>
  <c r="D13" i="6"/>
  <c r="C69" i="6"/>
  <c r="D12" i="6" s="1"/>
  <c r="Q14" i="3"/>
  <c r="F12" i="7"/>
  <c r="O12" i="7"/>
  <c r="D14" i="6"/>
  <c r="O15" i="7"/>
  <c r="Q13" i="3"/>
  <c r="Q13" i="6"/>
  <c r="Q14" i="6"/>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3" i="3" l="1"/>
  <c r="F32" i="6"/>
  <c r="F35" i="6"/>
  <c r="R14" i="3"/>
  <c r="S14" i="3" s="1"/>
  <c r="U14" i="3" s="1"/>
  <c r="J14" i="3" s="1"/>
  <c r="M14" i="3" s="1"/>
  <c r="G14" i="3" s="1"/>
  <c r="I15" i="16" s="1"/>
  <c r="C69" i="8"/>
  <c r="E69" i="8" s="1"/>
  <c r="L69" i="8"/>
  <c r="O15" i="8" s="1"/>
  <c r="F12" i="8"/>
  <c r="B69" i="8"/>
  <c r="M69" i="8" s="1"/>
  <c r="R12" i="7"/>
  <c r="S12" i="7" s="1"/>
  <c r="T12" i="7"/>
  <c r="O12" i="3"/>
  <c r="R12" i="3" s="1"/>
  <c r="S12" i="3" s="1"/>
  <c r="U12" i="3" s="1"/>
  <c r="J12" i="3" s="1"/>
  <c r="F12" i="3"/>
  <c r="R13" i="8"/>
  <c r="S13" i="8" s="1"/>
  <c r="U13" i="8" s="1"/>
  <c r="J13" i="8" s="1"/>
  <c r="M13" i="8" s="1"/>
  <c r="G13" i="8" s="1"/>
  <c r="K14" i="16" s="1"/>
  <c r="O15" i="3"/>
  <c r="R15" i="3" s="1"/>
  <c r="S15" i="3" s="1"/>
  <c r="U15" i="3" s="1"/>
  <c r="J15" i="3" s="1"/>
  <c r="M15" i="3" s="1"/>
  <c r="G15" i="3" s="1"/>
  <c r="I16" i="16" s="1"/>
  <c r="F15" i="3"/>
  <c r="O12" i="6"/>
  <c r="T15" i="7"/>
  <c r="K12" i="7"/>
  <c r="R15" i="7"/>
  <c r="S15" i="7" s="1"/>
  <c r="U15" i="7" s="1"/>
  <c r="J15" i="7" s="1"/>
  <c r="M15" i="7" s="1"/>
  <c r="T14" i="6"/>
  <c r="R14" i="6"/>
  <c r="S14" i="6" s="1"/>
  <c r="U14" i="6" s="1"/>
  <c r="J14" i="6" s="1"/>
  <c r="M14" i="6" s="1"/>
  <c r="G14" i="6" s="1"/>
  <c r="M15" i="13" s="1"/>
  <c r="T13" i="6"/>
  <c r="K13" i="6"/>
  <c r="R13" i="6"/>
  <c r="S13" i="6" s="1"/>
  <c r="U13" i="6" s="1"/>
  <c r="J13" i="6" s="1"/>
  <c r="M13" i="6" s="1"/>
  <c r="G13" i="6" s="1"/>
  <c r="M14" i="13" s="1"/>
  <c r="R14" i="8"/>
  <c r="S14" i="8" s="1"/>
  <c r="F35" i="3"/>
  <c r="K14" i="6"/>
  <c r="D15" i="6"/>
  <c r="T13" i="8"/>
  <c r="E69" i="6"/>
  <c r="T13" i="3"/>
  <c r="K14" i="3"/>
  <c r="T14" i="3"/>
  <c r="K15" i="7"/>
  <c r="R13" i="3"/>
  <c r="S13" i="3" s="1"/>
  <c r="U13" i="3" s="1"/>
  <c r="J13" i="3" s="1"/>
  <c r="M13" i="3" s="1"/>
  <c r="G13" i="3" s="1"/>
  <c r="O15" i="6"/>
  <c r="Q12" i="6"/>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E14" i="9" l="1"/>
  <c r="N30" i="3"/>
  <c r="T15" i="3"/>
  <c r="K15" i="3"/>
  <c r="L15" i="3" s="1"/>
  <c r="P16" i="16" s="1"/>
  <c r="K12" i="3"/>
  <c r="L12" i="3" s="1"/>
  <c r="P13" i="16" s="1"/>
  <c r="L14" i="3"/>
  <c r="P15" i="16" s="1"/>
  <c r="D12" i="8"/>
  <c r="D15" i="8"/>
  <c r="I15" i="13"/>
  <c r="U12" i="7"/>
  <c r="J12" i="7" s="1"/>
  <c r="M12" i="7" s="1"/>
  <c r="T12" i="3"/>
  <c r="Q12" i="8"/>
  <c r="O12" i="8"/>
  <c r="Q15" i="8"/>
  <c r="R15" i="8" s="1"/>
  <c r="S15" i="8" s="1"/>
  <c r="U15" i="8" s="1"/>
  <c r="J15" i="8" s="1"/>
  <c r="F32" i="8"/>
  <c r="F35" i="8"/>
  <c r="Q14" i="13"/>
  <c r="L13" i="8"/>
  <c r="T14" i="16" s="1"/>
  <c r="T12" i="6"/>
  <c r="I13" i="9"/>
  <c r="L13" i="3"/>
  <c r="P14" i="16" s="1"/>
  <c r="L15" i="7"/>
  <c r="S16" i="16" s="1"/>
  <c r="L13" i="6"/>
  <c r="R14" i="16" s="1"/>
  <c r="G13" i="9"/>
  <c r="U14" i="8"/>
  <c r="J14" i="8" s="1"/>
  <c r="N30" i="8" s="1"/>
  <c r="K15" i="6"/>
  <c r="K12" i="6"/>
  <c r="R12" i="6"/>
  <c r="S12" i="6" s="1"/>
  <c r="U12" i="6" s="1"/>
  <c r="J12" i="6" s="1"/>
  <c r="M12" i="6" s="1"/>
  <c r="G12" i="6" s="1"/>
  <c r="R15" i="6"/>
  <c r="S15" i="6" s="1"/>
  <c r="U15" i="6" s="1"/>
  <c r="J15" i="6" s="1"/>
  <c r="T15" i="6"/>
  <c r="M13" i="9"/>
  <c r="U14" i="13"/>
  <c r="U12" i="13"/>
  <c r="M11" i="9"/>
  <c r="T13" i="2"/>
  <c r="U8" i="6"/>
  <c r="J8" i="6" s="1"/>
  <c r="M8" i="6" s="1"/>
  <c r="G8" i="6" s="1"/>
  <c r="M9" i="13" s="1"/>
  <c r="R13" i="2"/>
  <c r="S13" i="2" s="1"/>
  <c r="U13" i="2" s="1"/>
  <c r="J13" i="2" s="1"/>
  <c r="M13" i="2" s="1"/>
  <c r="G13" i="2" s="1"/>
  <c r="E14" i="16" s="1"/>
  <c r="V11" i="13"/>
  <c r="G14" i="9"/>
  <c r="R10" i="7"/>
  <c r="S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D13" i="9"/>
  <c r="G14" i="13"/>
  <c r="K9" i="7"/>
  <c r="T14" i="2"/>
  <c r="V12" i="13"/>
  <c r="U10" i="13"/>
  <c r="N11" i="9"/>
  <c r="T15" i="5"/>
  <c r="W14" i="13"/>
  <c r="N14" i="9"/>
  <c r="L13" i="7"/>
  <c r="S14" i="16" s="1"/>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K12" i="8" l="1"/>
  <c r="L12" i="7"/>
  <c r="S13" i="16" s="1"/>
  <c r="U10" i="7"/>
  <c r="J10" i="7" s="1"/>
  <c r="L10" i="7" s="1"/>
  <c r="S11" i="16" s="1"/>
  <c r="T12" i="8"/>
  <c r="Q12" i="9"/>
  <c r="V14" i="13"/>
  <c r="R12" i="8"/>
  <c r="S12" i="8" s="1"/>
  <c r="K15" i="8"/>
  <c r="L15" i="8" s="1"/>
  <c r="T16" i="16" s="1"/>
  <c r="N13" i="9"/>
  <c r="T15" i="8"/>
  <c r="R13" i="9"/>
  <c r="Z14" i="13"/>
  <c r="Y16" i="13"/>
  <c r="Q15" i="9"/>
  <c r="U14" i="2"/>
  <c r="J14" i="2" s="1"/>
  <c r="M14" i="2" s="1"/>
  <c r="G14" i="2" s="1"/>
  <c r="E15" i="16" s="1"/>
  <c r="X14" i="13"/>
  <c r="P13" i="9"/>
  <c r="L14" i="8"/>
  <c r="T15" i="16" s="1"/>
  <c r="L12" i="6"/>
  <c r="R13" i="16" s="1"/>
  <c r="L15" i="6"/>
  <c r="R16" i="16" s="1"/>
  <c r="M14" i="8"/>
  <c r="G14" i="8" s="1"/>
  <c r="K15" i="16" s="1"/>
  <c r="M15" i="6"/>
  <c r="G15" i="6" s="1"/>
  <c r="M16" i="13"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Y13" i="13" l="1"/>
  <c r="M10" i="7"/>
  <c r="U12" i="8"/>
  <c r="J12" i="8" s="1"/>
  <c r="M12" i="8" s="1"/>
  <c r="G12" i="8" s="1"/>
  <c r="K13" i="16" s="1"/>
  <c r="L14" i="2"/>
  <c r="N15" i="16" s="1"/>
  <c r="G15" i="9"/>
  <c r="N30" i="2"/>
  <c r="P15" i="9"/>
  <c r="E15" i="13"/>
  <c r="C14" i="9"/>
  <c r="X13" i="13"/>
  <c r="Z15" i="13"/>
  <c r="R14" i="9"/>
  <c r="P12" i="9"/>
  <c r="I14" i="9"/>
  <c r="Q15" i="13"/>
  <c r="X16"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5" i="13" l="1"/>
  <c r="Q13" i="13"/>
  <c r="I12" i="9"/>
  <c r="L12" i="8"/>
  <c r="T13" i="16" s="1"/>
  <c r="L14" i="9"/>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<sst xmlns="http://schemas.openxmlformats.org/spreadsheetml/2006/main" count="654" uniqueCount="141">
  <si>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</si>
  <si>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</si>
  <si>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</si>
  <si>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</si>
  <si>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</si>
  <si>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</si>
  <si>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</si>
  <si>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</si>
  <si>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</si>
  <si>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</si>
  <si>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</si>
  <si>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</si>
  <si>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</si>
  <si>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</si>
  <si>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</si>
  <si>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</si>
  <si>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</si>
  <si>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</si>
  <si>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</si>
  <si>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</si>
  <si>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</si>
  <si>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</si>
  <si>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</si>
  <si>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</si>
  <si>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</si>
  <si>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</si>
  <si>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</si>
  <si>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</si>
  <si>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</si>
  <si>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</si>
  <si>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</si>
  <si>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</si>
  <si>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</si>
  <si>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</si>
  <si>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</si>
  <si>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</si>
  <si>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</si>
  <si>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</si>
  <si>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</si>
  <si>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</si>
  <si>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</si>
  <si>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</si>
  <si>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</si>
  <si>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</si>
  <si>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</si>
  <si>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</si>
  <si>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</si>
  <si>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</si>
  <si>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</si>
  <si>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</si>
  <si>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</si>
  <si>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</si>
  <si>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</si>
  <si>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</si>
  <si>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</si>
  <si>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</si>
  <si>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</si>
  <si>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</si>
  <si>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</si>
  <si>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</si>
  <si>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</si>
  <si>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</si>
  <si>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</si>
  <si>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</si>
  <si>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</si>
  <si>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</si>
  <si>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</si>
  <si>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</si>
  <si>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</si>
  <si>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</si>
  <si>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</si>
  <si>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</si>
  <si>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</si>
  <si>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</si>
  <si>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</si>
  <si>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</si>
  <si>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</si>
  <si>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</si>
  <si>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</si>
  <si>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</si>
  <si>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</si>
  <si>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</si>
  <si>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</si>
  <si>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</si>
  <si>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</si>
  <si>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</si>
  <si>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</si>
  <si>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</si>
  <si>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</si>
  <si>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</si>
  <si>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</si>
  <si>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</si>
  <si>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</si>
  <si>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</si>
  <si>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</si>
  <si>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</si>
  <si>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</si>
  <si>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</si>
  <si>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</si>
  <si>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</si>
  <si>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</si>
  <si>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</si>
  <si>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</si>
  <si>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</si>
  <si>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</si>
  <si>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</si>
  <si>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</si>
  <si>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</si>
  <si>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</si>
  <si>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</si>
  <si>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</si>
  <si>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</si>
  <si>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</si>
  <si>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</si>
  <si>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</si>
  <si>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</si>
  <si>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</si>
  <si>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</si>
  <si>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</si>
  <si>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</si>
  <si>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</si>
  <si>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</si>
  <si>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</si>
  <si>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</si>
  <si>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</si>
  <si>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</si>
  <si>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</si>
  <si>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</si>
  <si>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</si>
  <si>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</si>
  <si>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</si>
  <si>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</si>
  <si>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</si>
  <si>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</si>
  <si>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</si>
  <si>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</si>
  <si>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</si>
  <si>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Barry</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</si>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</sst>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Barry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N=20</c:v>
                </c:pt>
                <c:pt idx="3">
                  <c:v>Petitions, total N=35</c:v>
                </c:pt>
                <c:pt idx="4">
                  <c:v>Detentions, total N=2</c:v>
                </c:pt>
                <c:pt idx="5">
                  <c:v>Referrals, total N=50</c:v>
                </c:pt>
                <c:pt idx="6">
                  <c:v>Arrests, total N=12</c:v>
                </c:pt>
                <c:pt idx="7">
                  <c:v>Population, total N=5539</c:v>
                </c:pt>
              </c:strCache>
            </c:strRef>
          </c:cat>
          <c:val>
            <c:numRef>
              <c:f>'Stacked 100%'!$B$7:$B$14</c:f>
              <c:numCache>
                <c:formatCode>0%</c:formatCode>
                <c:ptCount val="8"/>
                <c:pt idx="0">
                  <c:v>0</c:v>
                </c:pt>
                <c:pt idx="1">
                  <c:v>0</c:v>
                </c:pt>
                <c:pt idx="2">
                  <c:v>0.05</c:v>
                </c:pt>
                <c:pt idx="3">
                  <c:v>5.7142857142857141E-2</c:v>
                </c:pt>
                <c:pt idx="4">
                  <c:v>0</c:v>
                </c:pt>
                <c:pt idx="5">
                  <c:v>0.08</c:v>
                </c:pt>
                <c:pt idx="6">
                  <c:v>0.16666666666666666</c:v>
                </c:pt>
                <c:pt idx="7">
                  <c:v>2.1845098393211772E-2</c:v>
                </c:pt>
              </c:numCache>
            </c:numRef>
          </c:val>
          <c:extLst>
            <c:ext xmlns:c16="http://schemas.microsoft.com/office/drawing/2014/chart" uri="{C3380CC4-5D6E-409C-BE32-E72D297353CC}">
              <c16:uniqueId val="{00000000-8E0A-47AB-9857-9DAAED979856}"/>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N=20</c:v>
                </c:pt>
                <c:pt idx="3">
                  <c:v>Petitions, total N=35</c:v>
                </c:pt>
                <c:pt idx="4">
                  <c:v>Detentions, total N=2</c:v>
                </c:pt>
                <c:pt idx="5">
                  <c:v>Referrals, total N=50</c:v>
                </c:pt>
                <c:pt idx="6">
                  <c:v>Arrests, total N=12</c:v>
                </c:pt>
                <c:pt idx="7">
                  <c:v>Population, total N=5539</c:v>
                </c:pt>
              </c:strCache>
            </c:strRef>
          </c:cat>
          <c:val>
            <c:numRef>
              <c:f>'Stacked 100%'!$C$7:$C$14</c:f>
              <c:numCache>
                <c:formatCode>0%</c:formatCode>
                <c:ptCount val="8"/>
                <c:pt idx="0">
                  <c:v>0</c:v>
                </c:pt>
                <c:pt idx="1">
                  <c:v>0</c:v>
                </c:pt>
                <c:pt idx="2">
                  <c:v>0</c:v>
                </c:pt>
                <c:pt idx="3">
                  <c:v>0</c:v>
                </c:pt>
                <c:pt idx="4">
                  <c:v>0</c:v>
                </c:pt>
                <c:pt idx="5">
                  <c:v>0</c:v>
                </c:pt>
                <c:pt idx="6">
                  <c:v>0</c:v>
                </c:pt>
                <c:pt idx="7">
                  <c:v>5.1994944935909011E-2</c:v>
                </c:pt>
              </c:numCache>
            </c:numRef>
          </c:val>
          <c:extLst>
            <c:ext xmlns:c16="http://schemas.microsoft.com/office/drawing/2014/chart" uri="{C3380CC4-5D6E-409C-BE32-E72D297353CC}">
              <c16:uniqueId val="{00000001-8E0A-47AB-9857-9DAAED979856}"/>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N=3</c:v>
                </c:pt>
                <c:pt idx="2">
                  <c:v>Delinquent Findings, total N=20</c:v>
                </c:pt>
                <c:pt idx="3">
                  <c:v>Petitions, total N=35</c:v>
                </c:pt>
                <c:pt idx="4">
                  <c:v>Detentions, total N=2</c:v>
                </c:pt>
                <c:pt idx="5">
                  <c:v>Referrals, total N=50</c:v>
                </c:pt>
                <c:pt idx="6">
                  <c:v>Arrests, total N=12</c:v>
                </c:pt>
                <c:pt idx="7">
                  <c:v>Population, total N=5539</c:v>
                </c:pt>
              </c:strCache>
            </c:strRef>
          </c:cat>
          <c:val>
            <c:numRef>
              <c:f>'Stacked 100%'!$H$7:$H$14</c:f>
              <c:numCache>
                <c:formatCode>0%</c:formatCode>
                <c:ptCount val="8"/>
                <c:pt idx="0">
                  <c:v>0</c:v>
                </c:pt>
                <c:pt idx="1">
                  <c:v>0</c:v>
                </c:pt>
                <c:pt idx="2">
                  <c:v>0</c:v>
                </c:pt>
                <c:pt idx="3">
                  <c:v>0</c:v>
                </c:pt>
                <c:pt idx="4">
                  <c:v>0</c:v>
                </c:pt>
                <c:pt idx="5">
                  <c:v>0</c:v>
                </c:pt>
                <c:pt idx="6">
                  <c:v>0</c:v>
                </c:pt>
                <c:pt idx="7">
                  <c:v>2.0860141195125075E-6</c:v>
                </c:pt>
              </c:numCache>
            </c:numRef>
          </c:val>
          <c:extLst>
            <c:ext xmlns:c16="http://schemas.microsoft.com/office/drawing/2014/chart" uri="{C3380CC4-5D6E-409C-BE32-E72D297353CC}">
              <c16:uniqueId val="{00000002-8E0A-47AB-9857-9DAAED979856}"/>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N=20</c:v>
                </c:pt>
                <c:pt idx="3">
                  <c:v>Petitions, total N=35</c:v>
                </c:pt>
                <c:pt idx="4">
                  <c:v>Detentions, total N=2</c:v>
                </c:pt>
                <c:pt idx="5">
                  <c:v>Referrals, total N=50</c:v>
                </c:pt>
                <c:pt idx="6">
                  <c:v>Arrests, total N=12</c:v>
                </c:pt>
                <c:pt idx="7">
                  <c:v>Population, total N=5539</c:v>
                </c:pt>
              </c:strCache>
            </c:strRef>
          </c:cat>
          <c:val>
            <c:numRef>
              <c:f>'Stacked 100%'!$I$7:$I$14</c:f>
              <c:numCache>
                <c:formatCode>0%</c:formatCode>
                <c:ptCount val="8"/>
                <c:pt idx="0">
                  <c:v>0</c:v>
                </c:pt>
                <c:pt idx="1">
                  <c:v>1</c:v>
                </c:pt>
                <c:pt idx="2">
                  <c:v>0.85</c:v>
                </c:pt>
                <c:pt idx="3">
                  <c:v>0.88571428571428568</c:v>
                </c:pt>
                <c:pt idx="4">
                  <c:v>1</c:v>
                </c:pt>
                <c:pt idx="5">
                  <c:v>0.84</c:v>
                </c:pt>
                <c:pt idx="6">
                  <c:v>0.83333333333333337</c:v>
                </c:pt>
                <c:pt idx="7">
                  <c:v>0.91460552446289944</c:v>
                </c:pt>
              </c:numCache>
            </c:numRef>
          </c:val>
          <c:extLst>
            <c:ext xmlns:c16="http://schemas.microsoft.com/office/drawing/2014/chart" uri="{C3380CC4-5D6E-409C-BE32-E72D297353CC}">
              <c16:uniqueId val="{00000003-8E0A-47AB-9857-9DAAED979856}"/>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N=3</c:v>
                </c:pt>
                <c:pt idx="2">
                  <c:v>Delinquent Findings, total N=20</c:v>
                </c:pt>
                <c:pt idx="3">
                  <c:v>Petitions, total N=35</c:v>
                </c:pt>
                <c:pt idx="4">
                  <c:v>Detentions, total N=2</c:v>
                </c:pt>
                <c:pt idx="5">
                  <c:v>Referrals, total N=50</c:v>
                </c:pt>
                <c:pt idx="6">
                  <c:v>Arrests, total N=12</c:v>
                </c:pt>
                <c:pt idx="7">
                  <c:v>Population, total N=5539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8E0A-47AB-9857-9DAAED979856}"/>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5539</v>
      </c>
      <c r="C6" s="11">
        <v>5066</v>
      </c>
      <c r="D6" s="11">
        <v>121</v>
      </c>
      <c r="E6" s="11">
        <v>288</v>
      </c>
      <c r="F6" s="11">
        <v>33</v>
      </c>
      <c r="G6" s="11"/>
      <c r="H6" s="11">
        <v>31</v>
      </c>
      <c r="I6" s="11"/>
      <c r="J6" s="91">
        <f>SUM(D6:I6)</f>
        <v>473</v>
      </c>
      <c r="K6" s="92"/>
    </row>
    <row r="7" spans="1:11" ht="15.75" customHeight="1" thickBot="1" x14ac:dyDescent="0.25">
      <c r="A7" s="10" t="s">
        <v>8</v>
      </c>
      <c r="B7" s="11">
        <f t="shared" ref="B7:B15" si="0">SUM(C7:I7)+K7</f>
        <v>12</v>
      </c>
      <c r="C7" s="11">
        <v>10</v>
      </c>
      <c r="D7" s="11">
        <v>2</v>
      </c>
      <c r="E7" s="11"/>
      <c r="F7" s="11"/>
      <c r="G7" s="11"/>
      <c r="H7" s="11"/>
      <c r="I7" s="11"/>
      <c r="J7" s="91">
        <f t="shared" ref="J7:J15" si="1">SUM(D7:I7)</f>
        <v>2</v>
      </c>
      <c r="K7" s="92"/>
    </row>
    <row r="8" spans="1:11" ht="15.75" customHeight="1" thickBot="1" x14ac:dyDescent="0.25">
      <c r="A8" s="10" t="s">
        <v>9</v>
      </c>
      <c r="B8" s="11">
        <f t="shared" si="0"/>
        <v>50</v>
      </c>
      <c r="C8" s="11">
        <v>42</v>
      </c>
      <c r="D8" s="11">
        <v>4</v>
      </c>
      <c r="E8" s="11"/>
      <c r="F8" s="11"/>
      <c r="G8" s="11"/>
      <c r="H8" s="11"/>
      <c r="I8" s="11"/>
      <c r="J8" s="91">
        <f t="shared" si="1"/>
        <v>4</v>
      </c>
      <c r="K8" s="92">
        <v>4</v>
      </c>
    </row>
    <row r="9" spans="1:11" ht="15.75" customHeight="1" thickBot="1" x14ac:dyDescent="0.25">
      <c r="A9" s="10" t="s">
        <v>10</v>
      </c>
      <c r="B9" s="11">
        <f t="shared" si="0"/>
        <v>4</v>
      </c>
      <c r="C9" s="11">
        <v>4</v>
      </c>
      <c r="D9" s="11"/>
      <c r="E9" s="11"/>
      <c r="F9" s="11"/>
      <c r="G9" s="11"/>
      <c r="H9" s="11"/>
      <c r="I9" s="11"/>
      <c r="J9" s="91">
        <f t="shared" si="1"/>
        <v>0</v>
      </c>
      <c r="K9" s="92"/>
    </row>
    <row r="10" spans="1:11" ht="15.75" customHeight="1" thickBot="1" x14ac:dyDescent="0.25">
      <c r="A10" s="10" t="s">
        <v>11</v>
      </c>
      <c r="B10" s="11">
        <f t="shared" si="0"/>
        <v>2</v>
      </c>
      <c r="C10" s="11">
        <v>2</v>
      </c>
      <c r="D10" s="11"/>
      <c r="E10" s="11"/>
      <c r="F10" s="11"/>
      <c r="G10" s="11"/>
      <c r="H10" s="11"/>
      <c r="I10" s="11"/>
      <c r="J10" s="91">
        <f t="shared" si="1"/>
        <v>0</v>
      </c>
      <c r="K10" s="92"/>
    </row>
    <row r="11" spans="1:11" ht="15.75" customHeight="1" thickBot="1" x14ac:dyDescent="0.25">
      <c r="A11" s="10" t="s">
        <v>12</v>
      </c>
      <c r="B11" s="11">
        <f t="shared" si="0"/>
        <v>35</v>
      </c>
      <c r="C11" s="11">
        <v>31</v>
      </c>
      <c r="D11" s="11">
        <v>2</v>
      </c>
      <c r="E11" s="11"/>
      <c r="F11" s="11"/>
      <c r="G11" s="11"/>
      <c r="H11" s="11"/>
      <c r="I11" s="11"/>
      <c r="J11" s="91">
        <f t="shared" si="1"/>
        <v>2</v>
      </c>
      <c r="K11" s="92">
        <v>2</v>
      </c>
    </row>
    <row r="12" spans="1:11" ht="15.75" customHeight="1" thickBot="1" x14ac:dyDescent="0.25">
      <c r="A12" s="10" t="s">
        <v>13</v>
      </c>
      <c r="B12" s="11">
        <f t="shared" si="0"/>
        <v>20</v>
      </c>
      <c r="C12" s="11">
        <v>17</v>
      </c>
      <c r="D12" s="11">
        <v>1</v>
      </c>
      <c r="E12" s="11"/>
      <c r="F12" s="11"/>
      <c r="G12" s="11"/>
      <c r="H12" s="11"/>
      <c r="I12" s="11"/>
      <c r="J12" s="91">
        <f t="shared" si="1"/>
        <v>1</v>
      </c>
      <c r="K12" s="92">
        <v>2</v>
      </c>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3</v>
      </c>
      <c r="C14" s="11">
        <v>3</v>
      </c>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Barry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5066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10</v>
      </c>
      <c r="D7" s="34">
        <f>IF((AND(C66&gt;0,C7&gt;0)),(C7/C66),0)</f>
        <v>1.9739439399921044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10</v>
      </c>
      <c r="Q7" s="42">
        <f>C6-C7</f>
        <v>5056</v>
      </c>
      <c r="R7" s="42">
        <f t="shared" ref="R7:R15" si="5">SUM(N7:Q7)</f>
        <v>5066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42</v>
      </c>
      <c r="D8" s="34">
        <f>IF((AND(C67&gt;0,C8&gt;0)),(C8/C67),0)</f>
        <v>420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42</v>
      </c>
      <c r="Q8" s="42">
        <f>(C$67*L67)-C8</f>
        <v>-32</v>
      </c>
      <c r="R8" s="42">
        <f t="shared" si="5"/>
        <v>10.049999999999997</v>
      </c>
      <c r="S8" s="30">
        <f t="shared" si="6"/>
        <v>44.320499999999988</v>
      </c>
      <c r="T8" s="30">
        <f t="shared" si="7"/>
        <v>-670.94999999999993</v>
      </c>
      <c r="U8" s="31">
        <f t="shared" si="8"/>
        <v>-6.6056338028169001E-2</v>
      </c>
    </row>
    <row r="9" spans="2:21" ht="18" customHeight="1" x14ac:dyDescent="0.25">
      <c r="B9" s="32" t="str">
        <f>'Data Entry'!A9</f>
        <v xml:space="preserve">4. Cases Diverted </v>
      </c>
      <c r="C9" s="33">
        <f>'Data Entry'!C9</f>
        <v>4</v>
      </c>
      <c r="D9" s="34">
        <f>IF((AND(C68&gt;0,C9&gt;0)),((C9/C68)),0)</f>
        <v>9.5238095238095237</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38</v>
      </c>
      <c r="R9" s="42">
        <f t="shared" si="5"/>
        <v>42</v>
      </c>
      <c r="S9" s="30">
        <f t="shared" si="6"/>
        <v>0</v>
      </c>
      <c r="T9" s="30">
        <f t="shared" si="7"/>
        <v>0</v>
      </c>
      <c r="U9" s="31" t="str">
        <f t="shared" si="8"/>
        <v>- -</v>
      </c>
    </row>
    <row r="10" spans="2:21" ht="18" customHeight="1" x14ac:dyDescent="0.25">
      <c r="B10" s="32" t="str">
        <f>'Data Entry'!A10</f>
        <v>5. Cases Involving Secure Detention</v>
      </c>
      <c r="C10" s="33">
        <f>'Data Entry'!C10</f>
        <v>2</v>
      </c>
      <c r="D10" s="34">
        <f>IF(((AND(C68&gt;0,C10&gt;0))),(C10/(C68)),0)</f>
        <v>4.7619047619047619</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40</v>
      </c>
      <c r="R10" s="42">
        <f t="shared" si="5"/>
        <v>42</v>
      </c>
      <c r="S10" s="30">
        <f t="shared" si="6"/>
        <v>0</v>
      </c>
      <c r="T10" s="30">
        <f t="shared" si="7"/>
        <v>0</v>
      </c>
      <c r="U10" s="31" t="str">
        <f t="shared" si="8"/>
        <v>- -</v>
      </c>
    </row>
    <row r="11" spans="2:21" ht="18" customHeight="1" x14ac:dyDescent="0.25">
      <c r="B11" s="32" t="str">
        <f>'Data Entry'!A11</f>
        <v>6. Cases Petitioned (Charge Filed)</v>
      </c>
      <c r="C11" s="33">
        <f>'Data Entry'!C11</f>
        <v>31</v>
      </c>
      <c r="D11" s="34">
        <f>IF(((AND(C68&gt;0,C11&gt;0))),(C11/(C68)),0)</f>
        <v>73.80952380952381</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31</v>
      </c>
      <c r="Q11" s="42">
        <f>(C$68*L68)-C11</f>
        <v>11</v>
      </c>
      <c r="R11" s="42">
        <f t="shared" si="5"/>
        <v>42</v>
      </c>
      <c r="S11" s="30">
        <f t="shared" si="6"/>
        <v>0</v>
      </c>
      <c r="T11" s="30">
        <f t="shared" si="7"/>
        <v>0</v>
      </c>
      <c r="U11" s="31" t="str">
        <f t="shared" si="8"/>
        <v>- -</v>
      </c>
    </row>
    <row r="12" spans="2:21" ht="18" customHeight="1" x14ac:dyDescent="0.25">
      <c r="B12" s="32" t="str">
        <f>'Data Entry'!A12</f>
        <v>7. Cases Resulting in Delinquent Findings</v>
      </c>
      <c r="C12" s="33">
        <f>'Data Entry'!C12</f>
        <v>17</v>
      </c>
      <c r="D12" s="34">
        <f>IF(((AND(C69&gt;0,C12&gt;0))),(C12/(C69)),0)</f>
        <v>54.838709677419352</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14</v>
      </c>
      <c r="R12" s="42">
        <f t="shared" si="5"/>
        <v>31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17.647058823529409</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14</v>
      </c>
      <c r="R14" s="42">
        <f t="shared" si="5"/>
        <v>17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5.0659999999999998</v>
      </c>
      <c r="D42" s="56">
        <f>E6/1000</f>
        <v>0</v>
      </c>
      <c r="E42" s="56">
        <f>MAX(C42:D42)</f>
        <v>5.0659999999999998</v>
      </c>
      <c r="G42" s="1" t="str">
        <f>B42</f>
        <v>per 1000 youth</v>
      </c>
      <c r="L42" s="57">
        <v>1000</v>
      </c>
      <c r="M42" s="57"/>
      <c r="R42" s="49"/>
    </row>
    <row r="43" spans="2:18" ht="15" hidden="1" customHeight="1" x14ac:dyDescent="0.25">
      <c r="B43" s="49" t="s">
        <v>87</v>
      </c>
      <c r="C43" s="56">
        <f>C7/100</f>
        <v>0.1</v>
      </c>
      <c r="D43" s="56">
        <f>E7/100</f>
        <v>0</v>
      </c>
      <c r="E43" s="56">
        <f>MAX(C43:D43,0)</f>
        <v>0.1</v>
      </c>
      <c r="G43" s="1" t="str">
        <f>B43</f>
        <v>per 100 arrests</v>
      </c>
      <c r="L43" s="57">
        <v>100</v>
      </c>
      <c r="M43" s="57"/>
      <c r="R43" s="49"/>
    </row>
    <row r="44" spans="2:18" ht="15" hidden="1" customHeight="1" x14ac:dyDescent="0.25">
      <c r="B44" s="49" t="s">
        <v>88</v>
      </c>
      <c r="C44" s="56">
        <f>C8/100</f>
        <v>0.42</v>
      </c>
      <c r="D44" s="56">
        <f>E8/100</f>
        <v>0</v>
      </c>
      <c r="E44" s="56">
        <f>MAX(C44:D44,0)</f>
        <v>0.42</v>
      </c>
      <c r="G44" s="1" t="str">
        <f>B44</f>
        <v>per 100 referrals</v>
      </c>
      <c r="L44" s="57">
        <v>100</v>
      </c>
      <c r="M44" s="57"/>
      <c r="R44" s="49"/>
    </row>
    <row r="45" spans="2:18" ht="15" hidden="1" customHeight="1" x14ac:dyDescent="0.25">
      <c r="B45" s="49" t="s">
        <v>89</v>
      </c>
      <c r="C45" s="49">
        <f>C11/100</f>
        <v>0.31</v>
      </c>
      <c r="D45" s="49">
        <f>E11/100</f>
        <v>0</v>
      </c>
      <c r="E45" s="56">
        <f>MAX(C45:D45,0)</f>
        <v>0.31</v>
      </c>
      <c r="G45" s="1" t="str">
        <f>B45</f>
        <v>per 100 youth petitioned</v>
      </c>
      <c r="L45" s="57">
        <v>100</v>
      </c>
      <c r="M45" s="57"/>
      <c r="R45" s="49"/>
    </row>
    <row r="46" spans="2:18" ht="15" hidden="1" customHeight="1" x14ac:dyDescent="0.25">
      <c r="B46" s="49" t="s">
        <v>90</v>
      </c>
      <c r="C46" s="49">
        <f>C12/100</f>
        <v>0.17</v>
      </c>
      <c r="D46" s="49">
        <f>E12/100</f>
        <v>0</v>
      </c>
      <c r="E46" s="56">
        <f>MAX(C46:D46)</f>
        <v>0.17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5.0659999999999998</v>
      </c>
      <c r="D48" s="56">
        <f>D42</f>
        <v>0</v>
      </c>
      <c r="E48" s="56">
        <f>MAX(C48:D48)</f>
        <v>5.0659999999999998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v>
      </c>
      <c r="D49" s="49">
        <f t="shared" si="9"/>
        <v>0</v>
      </c>
      <c r="E49" s="49">
        <f>MAX(C49:D49)</f>
        <v>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0.42</v>
      </c>
      <c r="D50" s="49">
        <f t="shared" si="9"/>
        <v>0</v>
      </c>
      <c r="E50" s="49">
        <f>MAX(C50:D50)</f>
        <v>0.42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0.31</v>
      </c>
      <c r="D51" s="49">
        <f>IF(($E45&gt;0),D45,D44)</f>
        <v>0</v>
      </c>
      <c r="E51" s="49">
        <f>MAX(C51:D51)</f>
        <v>0.31</v>
      </c>
      <c r="G51" s="1" t="str">
        <f>G45</f>
        <v>per 100 youth petitioned</v>
      </c>
      <c r="L51" s="58">
        <f>IF(($E45&gt;0),L45,L44)</f>
        <v>100</v>
      </c>
      <c r="M51" s="58"/>
    </row>
    <row r="52" spans="2:18" ht="15" hidden="1" customHeight="1" x14ac:dyDescent="0.25">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5.0659999999999998</v>
      </c>
      <c r="D54" s="56">
        <f>D48</f>
        <v>0</v>
      </c>
      <c r="E54" s="56">
        <f>MAX(C54:D54)</f>
        <v>5.0659999999999998</v>
      </c>
      <c r="G54" s="1" t="str">
        <f>G48</f>
        <v>per 1000 youth</v>
      </c>
      <c r="L54" s="58">
        <f>L48</f>
        <v>1000</v>
      </c>
      <c r="M54" s="58"/>
    </row>
    <row r="55" spans="2:18" ht="15" hidden="1" customHeight="1" x14ac:dyDescent="0.25">
      <c r="B55" s="49" t="str">
        <f t="shared" ref="B55:D56" si="10">IF(($E49&gt;0),B49,B48)</f>
        <v>per 100 arrests</v>
      </c>
      <c r="C55" s="49">
        <f t="shared" si="10"/>
        <v>0.1</v>
      </c>
      <c r="D55" s="49">
        <f t="shared" si="10"/>
        <v>0</v>
      </c>
      <c r="E55" s="49">
        <f>MAX(C55:D55)</f>
        <v>0.1</v>
      </c>
      <c r="G55" s="1" t="str">
        <f>G49</f>
        <v>per 100 arrests</v>
      </c>
      <c r="L55" s="58">
        <f>IF(($E49&gt;0),L49,L48)</f>
        <v>100</v>
      </c>
      <c r="M55" s="58"/>
    </row>
    <row r="56" spans="2:18" ht="15" hidden="1" customHeight="1" x14ac:dyDescent="0.25">
      <c r="B56" s="49" t="str">
        <f t="shared" si="10"/>
        <v>per 100 referrals</v>
      </c>
      <c r="C56" s="49">
        <f t="shared" si="10"/>
        <v>0.42</v>
      </c>
      <c r="D56" s="49">
        <f t="shared" si="10"/>
        <v>0</v>
      </c>
      <c r="E56" s="49">
        <f>MAX(C56:D56)</f>
        <v>0.42</v>
      </c>
      <c r="G56" s="1" t="str">
        <f>G50</f>
        <v>per 100 referrals</v>
      </c>
      <c r="L56" s="58">
        <f>IF(($E50&gt;0),L50,L49)</f>
        <v>100</v>
      </c>
      <c r="M56" s="58"/>
    </row>
    <row r="57" spans="2:18" ht="15" hidden="1" customHeight="1" x14ac:dyDescent="0.25">
      <c r="B57" s="49" t="str">
        <f>IF(($E51&gt;0),B51,B49)</f>
        <v>per 100 youth petitioned</v>
      </c>
      <c r="C57" s="49">
        <f>IF(($E51&gt;0),C51,C50)</f>
        <v>0.31</v>
      </c>
      <c r="D57" s="49">
        <f>IF(($E51&gt;0),D51,D50)</f>
        <v>0</v>
      </c>
      <c r="E57" s="49">
        <f>MAX(C57:D57)</f>
        <v>0.31</v>
      </c>
      <c r="G57" s="1" t="str">
        <f>G51</f>
        <v>per 100 youth petitioned</v>
      </c>
      <c r="L57" s="58">
        <f>IF(($E51&gt;0),L51,L50)</f>
        <v>100</v>
      </c>
      <c r="M57" s="58"/>
    </row>
    <row r="58" spans="2:18" ht="15" hidden="1" customHeight="1" x14ac:dyDescent="0.25">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5.0659999999999998</v>
      </c>
      <c r="D60" s="56">
        <f>D54</f>
        <v>0</v>
      </c>
      <c r="E60" s="56">
        <f>MAX(C60:D60)</f>
        <v>5.0659999999999998</v>
      </c>
      <c r="G60" s="1" t="str">
        <f>G54</f>
        <v>per 1000 youth</v>
      </c>
      <c r="L60" s="58">
        <f>L54</f>
        <v>1000</v>
      </c>
      <c r="M60" s="58"/>
    </row>
    <row r="61" spans="2:18" ht="15" hidden="1" customHeight="1" x14ac:dyDescent="0.25">
      <c r="B61" s="49" t="str">
        <f t="shared" ref="B61:D62" si="11">IF(($E55&gt;0),B55,B54)</f>
        <v>per 100 arrests</v>
      </c>
      <c r="C61" s="49">
        <f t="shared" si="11"/>
        <v>0.1</v>
      </c>
      <c r="D61" s="49">
        <f t="shared" si="11"/>
        <v>0</v>
      </c>
      <c r="E61" s="49">
        <f>MAX(C61:D61)</f>
        <v>0.1</v>
      </c>
      <c r="G61" s="1" t="str">
        <f>G55</f>
        <v>per 100 arrests</v>
      </c>
      <c r="L61" s="58">
        <f>IF(($E55&gt;0),L55,L54)</f>
        <v>100</v>
      </c>
      <c r="M61" s="58"/>
    </row>
    <row r="62" spans="2:18" ht="15" hidden="1" customHeight="1" x14ac:dyDescent="0.25">
      <c r="B62" s="49" t="str">
        <f t="shared" si="11"/>
        <v>per 100 referrals</v>
      </c>
      <c r="C62" s="49">
        <f t="shared" si="11"/>
        <v>0.42</v>
      </c>
      <c r="D62" s="49">
        <f t="shared" si="11"/>
        <v>0</v>
      </c>
      <c r="E62" s="49">
        <f>MAX(C62:D62)</f>
        <v>0.42</v>
      </c>
      <c r="G62" s="1" t="str">
        <f>G56</f>
        <v>per 100 referrals</v>
      </c>
      <c r="L62" s="58">
        <f>IF(($E56&gt;0),L56,L55)</f>
        <v>100</v>
      </c>
      <c r="M62" s="58"/>
    </row>
    <row r="63" spans="2:18" ht="15" hidden="1" customHeight="1" x14ac:dyDescent="0.25">
      <c r="B63" s="49" t="str">
        <f>IF(($E57&gt;0),B57,B55)</f>
        <v>per 100 youth petitioned</v>
      </c>
      <c r="C63" s="49">
        <f>IF(($E57&gt;0),C57,C56)</f>
        <v>0.31</v>
      </c>
      <c r="D63" s="49">
        <f>IF(($E57&gt;0),D57,D56)</f>
        <v>0</v>
      </c>
      <c r="E63" s="49">
        <f>MAX(C63:D63)</f>
        <v>0.31</v>
      </c>
      <c r="G63" s="1" t="str">
        <f>G57</f>
        <v>per 100 youth petitioned</v>
      </c>
      <c r="L63" s="58">
        <f>IF(($E57&gt;0),L57,L56)</f>
        <v>100</v>
      </c>
      <c r="M63" s="58"/>
    </row>
    <row r="64" spans="2:18" ht="15" hidden="1" customHeight="1" x14ac:dyDescent="0.25">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5.0659999999999998</v>
      </c>
      <c r="D66" s="56">
        <f>D60</f>
        <v>0</v>
      </c>
      <c r="E66" s="56">
        <f>MAX(C66:D66)</f>
        <v>5.0659999999999998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0.1</v>
      </c>
      <c r="D67" s="49">
        <f t="shared" si="12"/>
        <v>0</v>
      </c>
      <c r="E67" s="49">
        <f>MAX(C67:D67)</f>
        <v>0.1</v>
      </c>
      <c r="G67" s="1" t="str">
        <f>G61</f>
        <v>per 100 arrests</v>
      </c>
      <c r="L67" s="58">
        <f>IF(($E61&gt;0),L61,L60)</f>
        <v>100</v>
      </c>
      <c r="M67" s="58">
        <f>IF((B67=G67),1,2)</f>
        <v>1</v>
      </c>
    </row>
    <row r="68" spans="2:13" ht="15" hidden="1" customHeight="1" x14ac:dyDescent="0.25">
      <c r="B68" s="49" t="str">
        <f t="shared" si="12"/>
        <v>per 100 referrals</v>
      </c>
      <c r="C68" s="49">
        <f t="shared" si="12"/>
        <v>0.42</v>
      </c>
      <c r="D68" s="49">
        <f t="shared" si="12"/>
        <v>0</v>
      </c>
      <c r="E68" s="49">
        <f>MAX(C68:D68)</f>
        <v>0.42</v>
      </c>
      <c r="G68" s="1" t="str">
        <f>G62</f>
        <v>per 100 referrals</v>
      </c>
      <c r="L68" s="58">
        <f>IF(($E62&gt;0),L62,L61)</f>
        <v>100</v>
      </c>
      <c r="M68" s="58">
        <f>IF((B68=G68),1,2)</f>
        <v>1</v>
      </c>
    </row>
    <row r="69" spans="2:13" ht="15" hidden="1" customHeight="1" x14ac:dyDescent="0.25">
      <c r="B69" s="49" t="str">
        <f>IF(($E63&gt;0),B63,B61)</f>
        <v>per 100 youth petitioned</v>
      </c>
      <c r="C69" s="49">
        <f>IF(($E63&gt;0),C63,C62)</f>
        <v>0.31</v>
      </c>
      <c r="D69" s="49">
        <f>IF(($E63&gt;0),D63,D62)</f>
        <v>0</v>
      </c>
      <c r="E69" s="49">
        <f>MAX(C69:D69)</f>
        <v>0.31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Barry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5066</v>
      </c>
      <c r="D6" s="34"/>
      <c r="E6" s="33">
        <f>'Data Entry'!J6</f>
        <v>473</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10</v>
      </c>
      <c r="D7" s="34">
        <f>IF((AND(C66&gt;0,C7&gt;0)),(C7/C66),0)</f>
        <v>1.9739439399921044</v>
      </c>
      <c r="E7" s="33">
        <f>'Data Entry'!J7</f>
        <v>2</v>
      </c>
      <c r="F7" s="34">
        <f>IF((AND($E$7&gt;0,$D$66&gt;0)),($E$7/$D$66),0)</f>
        <v>4.2283298097251585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471</v>
      </c>
      <c r="P7" s="42">
        <f t="shared" ref="P7:P15" si="4">C7</f>
        <v>10</v>
      </c>
      <c r="Q7" s="42">
        <f>C6-C7</f>
        <v>5056</v>
      </c>
      <c r="R7" s="42">
        <f t="shared" ref="R7:R15" si="5">SUM(N7:Q7)</f>
        <v>5539</v>
      </c>
      <c r="S7" s="30">
        <f t="shared" ref="S7:S15" si="6">R7*((((N7*Q7)-(O7*P7))^2))</f>
        <v>161636904556</v>
      </c>
      <c r="T7" s="30">
        <f t="shared" ref="T7:T15" si="7">(N7+O7)*(P7+Q7)*(N7+P7)*(O7+Q7)</f>
        <v>158926762632</v>
      </c>
      <c r="U7" s="31">
        <f t="shared" ref="U7:U15" si="8">IF((S7&gt;0),S7/T7,"- -")</f>
        <v>1.0170527724790783</v>
      </c>
    </row>
    <row r="8" spans="2:21" ht="18" customHeight="1" x14ac:dyDescent="0.25">
      <c r="B8" s="32" t="str">
        <f>'Data Entry'!A8</f>
        <v>3. Refer to Juvenile Court</v>
      </c>
      <c r="C8" s="33">
        <f>'Data Entry'!C8</f>
        <v>42</v>
      </c>
      <c r="D8" s="34">
        <f>IF((AND(C67&gt;0,C8&gt;0)),(C8/C67),0)</f>
        <v>420</v>
      </c>
      <c r="E8" s="33">
        <f>'Data Entry'!J8</f>
        <v>4</v>
      </c>
      <c r="F8" s="34">
        <f>IF((AND($E$8&gt;0,$D$67&gt;0)),($E8/$D67),0)</f>
        <v>200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4</v>
      </c>
      <c r="O8" s="42">
        <f>((D67*L67)-E8)+0.05</f>
        <v>-1.95</v>
      </c>
      <c r="P8" s="42">
        <f t="shared" si="4"/>
        <v>42</v>
      </c>
      <c r="Q8" s="42">
        <f>(C$67*L67)-C8</f>
        <v>-32</v>
      </c>
      <c r="R8" s="42">
        <f t="shared" si="5"/>
        <v>12.049999999999997</v>
      </c>
      <c r="S8" s="30">
        <f t="shared" si="6"/>
        <v>25608.780500000004</v>
      </c>
      <c r="T8" s="30">
        <f t="shared" si="7"/>
        <v>-32014.850000000002</v>
      </c>
      <c r="U8" s="31">
        <f t="shared" si="8"/>
        <v>-0.79990318555295437</v>
      </c>
    </row>
    <row r="9" spans="2:21" ht="18" customHeight="1" x14ac:dyDescent="0.25">
      <c r="B9" s="32" t="str">
        <f>'Data Entry'!A9</f>
        <v xml:space="preserve">4. Cases Diverted </v>
      </c>
      <c r="C9" s="33">
        <f>'Data Entry'!C9</f>
        <v>4</v>
      </c>
      <c r="D9" s="34">
        <f>IF((AND(C68&gt;0,C9&gt;0)),((C9/C68)),0)</f>
        <v>9.5238095238095237</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4</v>
      </c>
      <c r="P9" s="42">
        <f t="shared" si="4"/>
        <v>4</v>
      </c>
      <c r="Q9" s="42">
        <f>(C$68*L68)-C9</f>
        <v>38</v>
      </c>
      <c r="R9" s="42">
        <f t="shared" si="5"/>
        <v>46</v>
      </c>
      <c r="S9" s="30">
        <f t="shared" si="6"/>
        <v>11776</v>
      </c>
      <c r="T9" s="30">
        <f t="shared" si="7"/>
        <v>28224</v>
      </c>
      <c r="U9" s="31">
        <f t="shared" si="8"/>
        <v>0.41723356009070295</v>
      </c>
    </row>
    <row r="10" spans="2:21" ht="18" customHeight="1" x14ac:dyDescent="0.25">
      <c r="B10" s="32" t="str">
        <f>'Data Entry'!A10</f>
        <v>5. Cases Involving Secure Detention</v>
      </c>
      <c r="C10" s="33">
        <f>'Data Entry'!C10</f>
        <v>2</v>
      </c>
      <c r="D10" s="34">
        <f>IF(((AND(C68&gt;0,C10&gt;0))),(C10/(C68)),0)</f>
        <v>4.7619047619047619</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4</v>
      </c>
      <c r="P10" s="42">
        <f t="shared" si="4"/>
        <v>2</v>
      </c>
      <c r="Q10" s="42">
        <f>(C$68*L68)-C10</f>
        <v>40</v>
      </c>
      <c r="R10" s="42">
        <f t="shared" si="5"/>
        <v>46</v>
      </c>
      <c r="S10" s="30">
        <f t="shared" si="6"/>
        <v>2944</v>
      </c>
      <c r="T10" s="30">
        <f t="shared" si="7"/>
        <v>14784</v>
      </c>
      <c r="U10" s="31">
        <f t="shared" si="8"/>
        <v>0.19913419913419914</v>
      </c>
    </row>
    <row r="11" spans="2:21" ht="18" customHeight="1" x14ac:dyDescent="0.25">
      <c r="B11" s="32" t="str">
        <f>'Data Entry'!A11</f>
        <v>6. Cases Petitioned (Charge Filed)</v>
      </c>
      <c r="C11" s="33">
        <f>'Data Entry'!C11</f>
        <v>31</v>
      </c>
      <c r="D11" s="34">
        <f>IF(((AND(C68&gt;0,C11&gt;0))),(C11/(C68)),0)</f>
        <v>73.80952380952381</v>
      </c>
      <c r="E11" s="33">
        <f>'Data Entry'!J11</f>
        <v>2</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2</v>
      </c>
      <c r="P11" s="42">
        <f t="shared" si="4"/>
        <v>31</v>
      </c>
      <c r="Q11" s="42">
        <f>(C$68*L68)-C11</f>
        <v>11</v>
      </c>
      <c r="R11" s="42">
        <f t="shared" si="5"/>
        <v>46</v>
      </c>
      <c r="S11" s="30">
        <f t="shared" si="6"/>
        <v>73600</v>
      </c>
      <c r="T11" s="30">
        <f t="shared" si="7"/>
        <v>72072</v>
      </c>
      <c r="U11" s="31">
        <f t="shared" si="8"/>
        <v>1.0212010212010212</v>
      </c>
    </row>
    <row r="12" spans="2:21" ht="18" customHeight="1" x14ac:dyDescent="0.25">
      <c r="B12" s="32" t="str">
        <f>'Data Entry'!A12</f>
        <v>7. Cases Resulting in Delinquent Findings</v>
      </c>
      <c r="C12" s="33">
        <f>'Data Entry'!C12</f>
        <v>17</v>
      </c>
      <c r="D12" s="34">
        <f>IF(((AND(C69&gt;0,C12&gt;0))),(C12/(C69)),0)</f>
        <v>54.838709677419352</v>
      </c>
      <c r="E12" s="33">
        <f>'Data Entry'!J12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1</v>
      </c>
      <c r="P12" s="42">
        <f t="shared" si="4"/>
        <v>17</v>
      </c>
      <c r="Q12" s="42">
        <f>(C69*L69)-C12</f>
        <v>14</v>
      </c>
      <c r="R12" s="42">
        <f t="shared" si="5"/>
        <v>33</v>
      </c>
      <c r="S12" s="30">
        <f t="shared" si="6"/>
        <v>297</v>
      </c>
      <c r="T12" s="30">
        <f t="shared" si="7"/>
        <v>16740</v>
      </c>
      <c r="U12" s="31">
        <f t="shared" si="8"/>
        <v>1.7741935483870968E-2</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17</v>
      </c>
      <c r="R13" s="42">
        <f t="shared" si="5"/>
        <v>18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17.647058823529409</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3</v>
      </c>
      <c r="Q14" s="42">
        <f>(C70*L70)-C14</f>
        <v>14</v>
      </c>
      <c r="R14" s="42">
        <f t="shared" si="5"/>
        <v>18</v>
      </c>
      <c r="S14" s="30">
        <f t="shared" si="6"/>
        <v>162</v>
      </c>
      <c r="T14" s="30">
        <f t="shared" si="7"/>
        <v>765</v>
      </c>
      <c r="U14" s="31">
        <f t="shared" si="8"/>
        <v>0.21176470588235294</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31</v>
      </c>
      <c r="R15" s="42">
        <f t="shared" si="5"/>
        <v>33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5.0659999999999998</v>
      </c>
      <c r="D42" s="56">
        <f>E6/1000</f>
        <v>0.47299999999999998</v>
      </c>
      <c r="E42" s="56">
        <f>MAX(C42:D42)</f>
        <v>5.0659999999999998</v>
      </c>
      <c r="G42" s="1" t="str">
        <f>B42</f>
        <v>per 1000 youth</v>
      </c>
      <c r="L42" s="57">
        <v>1000</v>
      </c>
      <c r="M42" s="57"/>
      <c r="R42" s="49"/>
    </row>
    <row r="43" spans="2:18" ht="15" hidden="1" customHeight="1" x14ac:dyDescent="0.25">
      <c r="B43" s="49" t="s">
        <v>87</v>
      </c>
      <c r="C43" s="56">
        <f>C7/100</f>
        <v>0.1</v>
      </c>
      <c r="D43" s="56">
        <f>E7/100</f>
        <v>0.02</v>
      </c>
      <c r="E43" s="56">
        <f>MAX(C43:D43,0)</f>
        <v>0.1</v>
      </c>
      <c r="G43" s="1" t="str">
        <f>B43</f>
        <v>per 100 arrests</v>
      </c>
      <c r="L43" s="57">
        <v>100</v>
      </c>
      <c r="M43" s="57"/>
      <c r="R43" s="49"/>
    </row>
    <row r="44" spans="2:18" ht="15" hidden="1" customHeight="1" x14ac:dyDescent="0.25">
      <c r="B44" s="49" t="s">
        <v>88</v>
      </c>
      <c r="C44" s="56">
        <f>C8/100</f>
        <v>0.42</v>
      </c>
      <c r="D44" s="56">
        <f>E8/100</f>
        <v>0.04</v>
      </c>
      <c r="E44" s="56">
        <f>MAX(C44:D44,0)</f>
        <v>0.42</v>
      </c>
      <c r="G44" s="1" t="str">
        <f>B44</f>
        <v>per 100 referrals</v>
      </c>
      <c r="L44" s="57">
        <v>100</v>
      </c>
      <c r="M44" s="57"/>
      <c r="R44" s="49"/>
    </row>
    <row r="45" spans="2:18" ht="15" hidden="1" customHeight="1" x14ac:dyDescent="0.25">
      <c r="B45" s="49" t="s">
        <v>89</v>
      </c>
      <c r="C45" s="49">
        <f>C11/100</f>
        <v>0.31</v>
      </c>
      <c r="D45" s="49">
        <f>E11/100</f>
        <v>0.02</v>
      </c>
      <c r="E45" s="56">
        <f>MAX(C45:D45,0)</f>
        <v>0.31</v>
      </c>
      <c r="G45" s="1" t="str">
        <f>B45</f>
        <v>per 100 youth petitioned</v>
      </c>
      <c r="L45" s="57">
        <v>100</v>
      </c>
      <c r="M45" s="57"/>
      <c r="R45" s="49"/>
    </row>
    <row r="46" spans="2:18" ht="15" hidden="1" customHeight="1" x14ac:dyDescent="0.25">
      <c r="B46" s="49" t="s">
        <v>90</v>
      </c>
      <c r="C46" s="49">
        <f>C12/100</f>
        <v>0.17</v>
      </c>
      <c r="D46" s="49">
        <f>E12/100</f>
        <v>0.01</v>
      </c>
      <c r="E46" s="56">
        <f>MAX(C46:D46)</f>
        <v>0.17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5.0659999999999998</v>
      </c>
      <c r="D48" s="56">
        <f>D42</f>
        <v>0.47299999999999998</v>
      </c>
      <c r="E48" s="56">
        <f>MAX(C48:D48)</f>
        <v>5.0659999999999998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v>
      </c>
      <c r="D49" s="49">
        <f t="shared" si="9"/>
        <v>0.02</v>
      </c>
      <c r="E49" s="49">
        <f>MAX(C49:D49)</f>
        <v>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0.42</v>
      </c>
      <c r="D50" s="49">
        <f t="shared" si="9"/>
        <v>0.04</v>
      </c>
      <c r="E50" s="49">
        <f>MAX(C50:D50)</f>
        <v>0.42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0.31</v>
      </c>
      <c r="D51" s="49">
        <f>IF(($E45&gt;0),D45,D44)</f>
        <v>0.02</v>
      </c>
      <c r="E51" s="49">
        <f>MAX(C51:D51)</f>
        <v>0.31</v>
      </c>
      <c r="G51" s="1" t="str">
        <f>G45</f>
        <v>per 100 youth petitioned</v>
      </c>
      <c r="L51" s="58">
        <f>IF(($E45&gt;0),L45,L44)</f>
        <v>100</v>
      </c>
      <c r="M51" s="58"/>
    </row>
    <row r="52" spans="2:18" ht="15" hidden="1" customHeight="1" x14ac:dyDescent="0.25">
      <c r="B52" s="49" t="str">
        <f>IF(($E46&gt;0),B46,B45)</f>
        <v>per 100 youth found delinquent</v>
      </c>
      <c r="C52" s="49">
        <f>IF(($E46&gt;0),C46,C45)</f>
        <v>0.17</v>
      </c>
      <c r="D52" s="49">
        <f>IF(($E46&gt;0),D46,D45)</f>
        <v>0.01</v>
      </c>
      <c r="E52" s="56">
        <f>MAX(C52:D52)</f>
        <v>0.17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5.0659999999999998</v>
      </c>
      <c r="D54" s="56">
        <f>D48</f>
        <v>0.47299999999999998</v>
      </c>
      <c r="E54" s="56">
        <f>MAX(C54:D54)</f>
        <v>5.0659999999999998</v>
      </c>
      <c r="G54" s="1" t="str">
        <f>G48</f>
        <v>per 1000 youth</v>
      </c>
      <c r="L54" s="58">
        <f>L48</f>
        <v>1000</v>
      </c>
      <c r="M54" s="58"/>
    </row>
    <row r="55" spans="2:18" ht="15" hidden="1" customHeight="1" x14ac:dyDescent="0.25">
      <c r="B55" s="49" t="str">
        <f t="shared" ref="B55:D56" si="10">IF(($E49&gt;0),B49,B48)</f>
        <v>per 100 arrests</v>
      </c>
      <c r="C55" s="49">
        <f t="shared" si="10"/>
        <v>0.1</v>
      </c>
      <c r="D55" s="49">
        <f t="shared" si="10"/>
        <v>0.02</v>
      </c>
      <c r="E55" s="49">
        <f>MAX(C55:D55)</f>
        <v>0.1</v>
      </c>
      <c r="G55" s="1" t="str">
        <f>G49</f>
        <v>per 100 arrests</v>
      </c>
      <c r="L55" s="58">
        <f>IF(($E49&gt;0),L49,L48)</f>
        <v>100</v>
      </c>
      <c r="M55" s="58"/>
    </row>
    <row r="56" spans="2:18" ht="15" hidden="1" customHeight="1" x14ac:dyDescent="0.25">
      <c r="B56" s="49" t="str">
        <f t="shared" si="10"/>
        <v>per 100 referrals</v>
      </c>
      <c r="C56" s="49">
        <f t="shared" si="10"/>
        <v>0.42</v>
      </c>
      <c r="D56" s="49">
        <f t="shared" si="10"/>
        <v>0.04</v>
      </c>
      <c r="E56" s="49">
        <f>MAX(C56:D56)</f>
        <v>0.42</v>
      </c>
      <c r="G56" s="1" t="str">
        <f>G50</f>
        <v>per 100 referrals</v>
      </c>
      <c r="L56" s="58">
        <f>IF(($E50&gt;0),L50,L49)</f>
        <v>100</v>
      </c>
      <c r="M56" s="58"/>
    </row>
    <row r="57" spans="2:18" ht="15" hidden="1" customHeight="1" x14ac:dyDescent="0.25">
      <c r="B57" s="49" t="str">
        <f>IF(($E51&gt;0),B51,B49)</f>
        <v>per 100 youth petitioned</v>
      </c>
      <c r="C57" s="49">
        <f>IF(($E51&gt;0),C51,C50)</f>
        <v>0.31</v>
      </c>
      <c r="D57" s="49">
        <f>IF(($E51&gt;0),D51,D50)</f>
        <v>0.02</v>
      </c>
      <c r="E57" s="49">
        <f>MAX(C57:D57)</f>
        <v>0.31</v>
      </c>
      <c r="G57" s="1" t="str">
        <f>G51</f>
        <v>per 100 youth petitioned</v>
      </c>
      <c r="L57" s="58">
        <f>IF(($E51&gt;0),L51,L50)</f>
        <v>100</v>
      </c>
      <c r="M57" s="58"/>
    </row>
    <row r="58" spans="2:18" ht="15" hidden="1" customHeight="1" x14ac:dyDescent="0.25">
      <c r="B58" s="49" t="str">
        <f>IF(($E52&gt;0),B52,B51)</f>
        <v>per 100 youth found delinquent</v>
      </c>
      <c r="C58" s="49">
        <f>IF(($E52&gt;0),C52,C51)</f>
        <v>0.17</v>
      </c>
      <c r="D58" s="49">
        <f>IF(($E52&gt;0),D52,D51)</f>
        <v>0.01</v>
      </c>
      <c r="E58" s="56">
        <f>MAX(C58:D58)</f>
        <v>0.17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5.0659999999999998</v>
      </c>
      <c r="D60" s="56">
        <f>D54</f>
        <v>0.47299999999999998</v>
      </c>
      <c r="E60" s="56">
        <f>MAX(C60:D60)</f>
        <v>5.0659999999999998</v>
      </c>
      <c r="G60" s="1" t="str">
        <f>G54</f>
        <v>per 1000 youth</v>
      </c>
      <c r="L60" s="58">
        <f>L54</f>
        <v>1000</v>
      </c>
      <c r="M60" s="58"/>
    </row>
    <row r="61" spans="2:18" ht="15" hidden="1" customHeight="1" x14ac:dyDescent="0.25">
      <c r="B61" s="49" t="str">
        <f t="shared" ref="B61:D62" si="11">IF(($E55&gt;0),B55,B54)</f>
        <v>per 100 arrests</v>
      </c>
      <c r="C61" s="49">
        <f t="shared" si="11"/>
        <v>0.1</v>
      </c>
      <c r="D61" s="49">
        <f t="shared" si="11"/>
        <v>0.02</v>
      </c>
      <c r="E61" s="49">
        <f>MAX(C61:D61)</f>
        <v>0.1</v>
      </c>
      <c r="G61" s="1" t="str">
        <f>G55</f>
        <v>per 100 arrests</v>
      </c>
      <c r="L61" s="58">
        <f>IF(($E55&gt;0),L55,L54)</f>
        <v>100</v>
      </c>
      <c r="M61" s="58"/>
    </row>
    <row r="62" spans="2:18" ht="15" hidden="1" customHeight="1" x14ac:dyDescent="0.25">
      <c r="B62" s="49" t="str">
        <f t="shared" si="11"/>
        <v>per 100 referrals</v>
      </c>
      <c r="C62" s="49">
        <f t="shared" si="11"/>
        <v>0.42</v>
      </c>
      <c r="D62" s="49">
        <f t="shared" si="11"/>
        <v>0.04</v>
      </c>
      <c r="E62" s="49">
        <f>MAX(C62:D62)</f>
        <v>0.42</v>
      </c>
      <c r="G62" s="1" t="str">
        <f>G56</f>
        <v>per 100 referrals</v>
      </c>
      <c r="L62" s="58">
        <f>IF(($E56&gt;0),L56,L55)</f>
        <v>100</v>
      </c>
      <c r="M62" s="58"/>
    </row>
    <row r="63" spans="2:18" ht="15" hidden="1" customHeight="1" x14ac:dyDescent="0.25">
      <c r="B63" s="49" t="str">
        <f>IF(($E57&gt;0),B57,B55)</f>
        <v>per 100 youth petitioned</v>
      </c>
      <c r="C63" s="49">
        <f>IF(($E57&gt;0),C57,C56)</f>
        <v>0.31</v>
      </c>
      <c r="D63" s="49">
        <f>IF(($E57&gt;0),D57,D56)</f>
        <v>0.02</v>
      </c>
      <c r="E63" s="49">
        <f>MAX(C63:D63)</f>
        <v>0.31</v>
      </c>
      <c r="G63" s="1" t="str">
        <f>G57</f>
        <v>per 100 youth petitioned</v>
      </c>
      <c r="L63" s="58">
        <f>IF(($E57&gt;0),L57,L56)</f>
        <v>100</v>
      </c>
      <c r="M63" s="58"/>
    </row>
    <row r="64" spans="2:18" ht="15" hidden="1" customHeight="1" x14ac:dyDescent="0.25">
      <c r="B64" s="49" t="str">
        <f>IF(($E58&gt;0),B58,B57)</f>
        <v>per 100 youth found delinquent</v>
      </c>
      <c r="C64" s="49">
        <f>IF(($E58&gt;0),C58,C57)</f>
        <v>0.17</v>
      </c>
      <c r="D64" s="49">
        <f>IF(($E58&gt;0),D58,D57)</f>
        <v>0.01</v>
      </c>
      <c r="E64" s="56">
        <f>MAX(C64:D64)</f>
        <v>0.17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5.0659999999999998</v>
      </c>
      <c r="D66" s="56">
        <f>D60</f>
        <v>0.47299999999999998</v>
      </c>
      <c r="E66" s="56">
        <f>MAX(C66:D66)</f>
        <v>5.0659999999999998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0.1</v>
      </c>
      <c r="D67" s="49">
        <f t="shared" si="12"/>
        <v>0.02</v>
      </c>
      <c r="E67" s="49">
        <f>MAX(C67:D67)</f>
        <v>0.1</v>
      </c>
      <c r="G67" s="1" t="str">
        <f>G61</f>
        <v>per 100 arrests</v>
      </c>
      <c r="L67" s="58">
        <f>IF(($E61&gt;0),L61,L60)</f>
        <v>100</v>
      </c>
      <c r="M67" s="58">
        <f>IF((B67=G67),1,2)</f>
        <v>1</v>
      </c>
    </row>
    <row r="68" spans="2:13" ht="15" hidden="1" customHeight="1" x14ac:dyDescent="0.25">
      <c r="B68" s="49" t="str">
        <f t="shared" si="12"/>
        <v>per 100 referrals</v>
      </c>
      <c r="C68" s="49">
        <f t="shared" si="12"/>
        <v>0.42</v>
      </c>
      <c r="D68" s="49">
        <f t="shared" si="12"/>
        <v>0.04</v>
      </c>
      <c r="E68" s="49">
        <f>MAX(C68:D68)</f>
        <v>0.42</v>
      </c>
      <c r="G68" s="1" t="str">
        <f>G62</f>
        <v>per 100 referrals</v>
      </c>
      <c r="L68" s="58">
        <f>IF(($E62&gt;0),L62,L61)</f>
        <v>100</v>
      </c>
      <c r="M68" s="58">
        <f>IF((B68=G68),1,2)</f>
        <v>1</v>
      </c>
    </row>
    <row r="69" spans="2:13" ht="15" hidden="1" customHeight="1" x14ac:dyDescent="0.25">
      <c r="B69" s="49" t="str">
        <f>IF(($E63&gt;0),B63,B61)</f>
        <v>per 100 youth petitioned</v>
      </c>
      <c r="C69" s="49">
        <f>IF(($E63&gt;0),C63,C62)</f>
        <v>0.31</v>
      </c>
      <c r="D69" s="49">
        <f>IF(($E63&gt;0),D63,D62)</f>
        <v>0.02</v>
      </c>
      <c r="E69" s="49">
        <f>MAX(C69:D69)</f>
        <v>0.31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0.17</v>
      </c>
      <c r="D70" s="49">
        <f>IF(($E64&gt;0),D64,D63)</f>
        <v>0.01</v>
      </c>
      <c r="E70" s="56">
        <f>MAX(C70:D70)</f>
        <v>0.17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Barry</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139</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t="e">
        <f>'Other - Mixed'!L9</f>
        <v>#VALUE!</v>
      </c>
      <c r="R9" s="1">
        <f>'All Minorities'!L9</f>
        <v>40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t="e">
        <f>'Other - Mixed'!L10</f>
        <v>#VALUE!</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t="e">
        <f>'Other - Mixed'!L14</f>
        <v>#VALUE!</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5539</v>
      </c>
      <c r="D3" s="57">
        <f>'Data Entry'!C6</f>
        <v>5066</v>
      </c>
      <c r="E3" s="57">
        <f>'Data Entry'!D6</f>
        <v>121</v>
      </c>
      <c r="F3" s="57">
        <f>'Data Entry'!E6</f>
        <v>288</v>
      </c>
      <c r="G3" s="57">
        <f>'Data Entry'!F6</f>
        <v>33</v>
      </c>
      <c r="H3" s="57">
        <f>'Data Entry'!G6</f>
        <v>0</v>
      </c>
      <c r="I3" s="57">
        <f>'Data Entry'!H6</f>
        <v>31</v>
      </c>
      <c r="J3" s="57">
        <f>'Data Entry'!I6</f>
        <v>0</v>
      </c>
      <c r="K3" s="57">
        <f>'Data Entry'!J6</f>
        <v>473</v>
      </c>
    </row>
    <row r="4" spans="2:11" ht="15" customHeight="1" x14ac:dyDescent="0.25">
      <c r="B4" s="16" t="s">
        <v>8</v>
      </c>
      <c r="C4" s="1">
        <f>IF((C$3&gt;0),(1000*('Data Entry'!B7/'Data Entry'!B$6)), 0)</f>
        <v>2.1664560389962086</v>
      </c>
      <c r="D4" s="1">
        <f>IF((D$3&gt;0),(1000*('Data Entry'!C7/'Data Entry'!C$6)), 0)</f>
        <v>1.9739439399921042</v>
      </c>
      <c r="E4" s="1">
        <f>IF((E$3&gt;0),(1000*('Data Entry'!D7/'Data Entry'!D$6)), 0)</f>
        <v>16.528925619834713</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4.2283298097251585</v>
      </c>
    </row>
    <row r="5" spans="2:11" ht="15" customHeight="1" x14ac:dyDescent="0.25">
      <c r="B5" s="16" t="s">
        <v>9</v>
      </c>
      <c r="C5" s="1">
        <f>IF((C$3&gt;0),(1000*('Data Entry'!B8/'Data Entry'!B$6)), 0)</f>
        <v>9.0269001624842016</v>
      </c>
      <c r="D5" s="1">
        <f>IF((D$3&gt;0),(1000*('Data Entry'!C8/'Data Entry'!C$6)), 0)</f>
        <v>8.2905645479668379</v>
      </c>
      <c r="E5" s="1">
        <f>IF((E$3&gt;0),(1000*('Data Entry'!D8/'Data Entry'!D$6)), 0)</f>
        <v>33.057851239669425</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8.456659619450317</v>
      </c>
    </row>
    <row r="6" spans="2:11" ht="15" customHeight="1" x14ac:dyDescent="0.25">
      <c r="B6" s="16" t="s">
        <v>10</v>
      </c>
      <c r="C6" s="1">
        <f>IF((C$3&gt;0),(1000*('Data Entry'!B9/'Data Entry'!B$6)), 0)</f>
        <v>0.72215201299873621</v>
      </c>
      <c r="D6" s="1">
        <f>IF((D$3&gt;0),(1000*('Data Entry'!C9/'Data Entry'!C$6)), 0)</f>
        <v>0.78957757599684164</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0.36107600649936811</v>
      </c>
      <c r="D7" s="1">
        <f>IF((D$3&gt;0),(1000*('Data Entry'!C10/'Data Entry'!C$6)), 0)</f>
        <v>0.39478878799842082</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6.318830113738942</v>
      </c>
      <c r="D8" s="1">
        <f>IF((D$3&gt;0),(1000*('Data Entry'!C11/'Data Entry'!C$6)), 0)</f>
        <v>6.1192262139755229</v>
      </c>
      <c r="E8" s="1">
        <f>IF((E$3&gt;0),(1000*('Data Entry'!D11/'Data Entry'!D$6)), 0)</f>
        <v>16.528925619834713</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4.2283298097251585</v>
      </c>
    </row>
    <row r="9" spans="2:11" ht="15" customHeight="1" x14ac:dyDescent="0.25">
      <c r="B9" s="16" t="s">
        <v>13</v>
      </c>
      <c r="C9" s="1">
        <f>IF((C$3&gt;0),(1000*('Data Entry'!B12/'Data Entry'!B$6)), 0)</f>
        <v>3.6107600649936811</v>
      </c>
      <c r="D9" s="1">
        <f>IF((D$3&gt;0),(1000*('Data Entry'!C12/'Data Entry'!C$6)), 0)</f>
        <v>3.3557046979865772</v>
      </c>
      <c r="E9" s="1">
        <f>IF((E$3&gt;0),(1000*('Data Entry'!D12/'Data Entry'!D$6)), 0)</f>
        <v>8.2644628099173563</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2.1141649048625792</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0.54161400974905216</v>
      </c>
      <c r="D11" s="1">
        <f>IF((D$3&gt;0),(1000*('Data Entry'!C14/'Data Entry'!C$6)), 0)</f>
        <v>0.59218318199763131</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Barry</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8.3735537190082656</v>
      </c>
      <c r="E19" s="72" t="str">
        <f t="shared" si="1"/>
        <v>--</v>
      </c>
      <c r="F19" s="72" t="str">
        <f t="shared" si="1"/>
        <v>--</v>
      </c>
      <c r="G19" s="72" t="str">
        <f t="shared" si="1"/>
        <v>--</v>
      </c>
      <c r="H19" s="72" t="str">
        <f t="shared" si="1"/>
        <v>--</v>
      </c>
      <c r="I19" s="72" t="str">
        <f t="shared" si="1"/>
        <v>--</v>
      </c>
      <c r="J19" s="73">
        <f t="shared" si="1"/>
        <v>2.1420718816067654</v>
      </c>
    </row>
    <row r="20" spans="2:10" ht="15" customHeight="1" x14ac:dyDescent="0.25">
      <c r="B20" s="71" t="s">
        <v>9</v>
      </c>
      <c r="C20" s="72">
        <f t="shared" ref="C20:J27" si="2">IF(AND(($D5&gt;0),(D5&gt;0)), (D5/$D5),"--")</f>
        <v>1</v>
      </c>
      <c r="D20" s="72">
        <f t="shared" si="2"/>
        <v>3.9874065328610788</v>
      </c>
      <c r="E20" s="72" t="str">
        <f t="shared" si="2"/>
        <v>--</v>
      </c>
      <c r="F20" s="72" t="str">
        <f t="shared" si="2"/>
        <v>--</v>
      </c>
      <c r="G20" s="72" t="str">
        <f t="shared" si="2"/>
        <v>--</v>
      </c>
      <c r="H20" s="72" t="str">
        <f t="shared" si="2"/>
        <v>--</v>
      </c>
      <c r="I20" s="72" t="str">
        <f t="shared" si="2"/>
        <v>--</v>
      </c>
      <c r="J20" s="73">
        <f t="shared" si="2"/>
        <v>1.020034229336555</v>
      </c>
    </row>
    <row r="21" spans="2:10" ht="15" customHeight="1" x14ac:dyDescent="0.25">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f t="shared" si="2"/>
        <v>2.7011463609704083</v>
      </c>
      <c r="E23" s="72" t="str">
        <f t="shared" si="2"/>
        <v>--</v>
      </c>
      <c r="F23" s="72" t="str">
        <f t="shared" si="2"/>
        <v>--</v>
      </c>
      <c r="G23" s="72" t="str">
        <f t="shared" si="2"/>
        <v>--</v>
      </c>
      <c r="H23" s="72" t="str">
        <f t="shared" si="2"/>
        <v>--</v>
      </c>
      <c r="I23" s="72" t="str">
        <f t="shared" si="2"/>
        <v>--</v>
      </c>
      <c r="J23" s="73">
        <f t="shared" si="2"/>
        <v>0.69099092955056951</v>
      </c>
    </row>
    <row r="24" spans="2:10" ht="15" customHeight="1" x14ac:dyDescent="0.25">
      <c r="B24" s="71" t="s">
        <v>13</v>
      </c>
      <c r="C24" s="72">
        <f t="shared" si="2"/>
        <v>1</v>
      </c>
      <c r="D24" s="72">
        <f t="shared" si="2"/>
        <v>2.4628099173553721</v>
      </c>
      <c r="E24" s="72" t="str">
        <f t="shared" si="2"/>
        <v>--</v>
      </c>
      <c r="F24" s="72" t="str">
        <f t="shared" si="2"/>
        <v>--</v>
      </c>
      <c r="G24" s="72" t="str">
        <f t="shared" si="2"/>
        <v>--</v>
      </c>
      <c r="H24" s="72" t="str">
        <f t="shared" si="2"/>
        <v>--</v>
      </c>
      <c r="I24" s="72" t="str">
        <f t="shared" si="2"/>
        <v>--</v>
      </c>
      <c r="J24" s="73">
        <f t="shared" si="2"/>
        <v>0.63002114164904865</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Barry</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5066</v>
      </c>
      <c r="D7" s="105">
        <f>'Data Entry'!D6</f>
        <v>121</v>
      </c>
      <c r="E7" s="106"/>
      <c r="F7" s="107">
        <f>'Data Entry'!E6</f>
        <v>288</v>
      </c>
      <c r="G7" s="106"/>
      <c r="H7" s="107">
        <f>'Data Entry'!F6</f>
        <v>33</v>
      </c>
      <c r="I7" s="106"/>
      <c r="J7" s="107">
        <f>'Data Entry'!G6</f>
        <v>0</v>
      </c>
      <c r="K7" s="106"/>
      <c r="L7" s="107">
        <f>'Data Entry'!H6</f>
        <v>31</v>
      </c>
      <c r="M7" s="106"/>
      <c r="N7" s="107">
        <f>'Data Entry'!I6</f>
        <v>0</v>
      </c>
      <c r="O7" s="106"/>
      <c r="P7" s="107">
        <f>'Data Entry'!J6</f>
        <v>473</v>
      </c>
      <c r="Q7" s="108"/>
    </row>
    <row r="8" spans="2:26" s="1" customFormat="1" ht="15" customHeight="1" x14ac:dyDescent="0.3">
      <c r="B8" s="149" t="s">
        <v>8</v>
      </c>
      <c r="C8" s="104">
        <f>'Data Entry'!C7</f>
        <v>10</v>
      </c>
      <c r="D8" s="105">
        <f>'Data Entry'!D7</f>
        <v>2</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2</v>
      </c>
      <c r="Q8" s="108" t="str">
        <f>'All Minorities'!G7</f>
        <v>**</v>
      </c>
      <c r="R8"/>
      <c r="T8" s="1">
        <f>'Black or African-American'!L7</f>
        <v>20</v>
      </c>
      <c r="U8" s="1">
        <f>Hispanic!L7</f>
        <v>40</v>
      </c>
      <c r="V8" s="1">
        <f>Asian!L7</f>
        <v>139</v>
      </c>
      <c r="W8" s="1" t="e">
        <f>Hawaiian!L7</f>
        <v>#VALUE!</v>
      </c>
      <c r="X8" s="1">
        <f>'Am Indian'!L7</f>
        <v>139</v>
      </c>
      <c r="Y8" s="1" t="e">
        <f>'Other - Mixed'!L7</f>
        <v>#VALUE!</v>
      </c>
      <c r="Z8" s="1">
        <f>'All Minorities'!L7</f>
        <v>40</v>
      </c>
    </row>
    <row r="9" spans="2:26" s="1" customFormat="1" ht="15" customHeight="1" x14ac:dyDescent="0.3">
      <c r="B9" s="149" t="s">
        <v>134</v>
      </c>
      <c r="C9" s="104">
        <f>'Data Entry'!C8</f>
        <v>42</v>
      </c>
      <c r="D9" s="109">
        <f>'Data Entry'!D8</f>
        <v>4</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4</v>
      </c>
      <c r="Q9" s="112"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x14ac:dyDescent="0.3">
      <c r="B10" s="149" t="s">
        <v>10</v>
      </c>
      <c r="C10" s="104">
        <f>'Data Entry'!C9</f>
        <v>4</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f>'Black or African-American'!L9</f>
        <v>40</v>
      </c>
      <c r="U10" s="1" t="e">
        <f>Hispanic!L9</f>
        <v>#VALUE!</v>
      </c>
      <c r="V10" s="1" t="e">
        <f>Asian!L9</f>
        <v>#VALUE!</v>
      </c>
      <c r="W10" s="1" t="e">
        <f>Hawaiian!L9</f>
        <v>#VALUE!</v>
      </c>
      <c r="X10" s="1" t="e">
        <f>'Am Indian'!L9</f>
        <v>#VALUE!</v>
      </c>
      <c r="Y10" s="1" t="e">
        <f>'Other - Mixed'!L9</f>
        <v>#VALUE!</v>
      </c>
      <c r="Z10" s="1">
        <f>'All Minorities'!L9</f>
        <v>40</v>
      </c>
    </row>
    <row r="11" spans="2:26" s="1" customFormat="1" ht="15" customHeight="1" x14ac:dyDescent="0.3">
      <c r="B11" s="149" t="s">
        <v>11</v>
      </c>
      <c r="C11" s="104">
        <f>'Data Entry'!C10</f>
        <v>2</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f>'Black or African-American'!L10</f>
        <v>40</v>
      </c>
      <c r="U11" s="1" t="e">
        <f>Hispanic!L10</f>
        <v>#VALUE!</v>
      </c>
      <c r="V11" s="1" t="e">
        <f>Asian!L10</f>
        <v>#VALUE!</v>
      </c>
      <c r="W11" s="1" t="e">
        <f>Hawaiian!L10</f>
        <v>#VALUE!</v>
      </c>
      <c r="X11" s="1" t="e">
        <f>'Am Indian'!L10</f>
        <v>#VALUE!</v>
      </c>
      <c r="Y11" s="1" t="e">
        <f>'Other - Mixed'!L10</f>
        <v>#VALUE!</v>
      </c>
      <c r="Z11" s="1">
        <f>'All Minorities'!L10</f>
        <v>40</v>
      </c>
    </row>
    <row r="12" spans="2:26" s="1" customFormat="1" ht="15" customHeight="1" x14ac:dyDescent="0.3">
      <c r="B12" s="149" t="s">
        <v>95</v>
      </c>
      <c r="C12" s="104">
        <f>'Data Entry'!C11</f>
        <v>31</v>
      </c>
      <c r="D12" s="113">
        <f>'Data Entry'!D11</f>
        <v>2</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2</v>
      </c>
      <c r="Q12" s="116"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x14ac:dyDescent="0.3">
      <c r="B13" s="149" t="s">
        <v>13</v>
      </c>
      <c r="C13" s="104">
        <f>'Data Entry'!C12</f>
        <v>17</v>
      </c>
      <c r="D13" s="109">
        <f>'Data Entry'!D12</f>
        <v>1</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1</v>
      </c>
      <c r="Q13" s="112"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3</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f>'Black or African-American'!L14</f>
        <v>40</v>
      </c>
      <c r="U15" s="1" t="e">
        <f>Hispanic!L14</f>
        <v>#VALUE!</v>
      </c>
      <c r="V15" s="1" t="e">
        <f>Asian!L14</f>
        <v>#VALUE!</v>
      </c>
      <c r="W15" s="1" t="e">
        <f>Hawaiian!L14</f>
        <v>#VALUE!</v>
      </c>
      <c r="X15" s="1" t="e">
        <f>'Am Indian'!L14</f>
        <v>#VALUE!</v>
      </c>
      <c r="Y15" s="1" t="e">
        <f>'Other - Mixed'!L14</f>
        <v>#VALUE!</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Barry</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Barry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10.710359408033828</v>
      </c>
    </row>
    <row r="8" spans="1:12" ht="25.5" customHeight="1" x14ac:dyDescent="0.2">
      <c r="A8" s="158" t="str">
        <f>CONCATENATE("Confinement, total N=", 'Data Entry'!B14)</f>
        <v>Confinement, total N=3</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1</v>
      </c>
      <c r="K8" s="97" t="str">
        <f>A8</f>
        <v>Confinement, total N=3</v>
      </c>
      <c r="L8">
        <f>I14/(SUM(B14:G14))</f>
        <v>10.710359408033828</v>
      </c>
    </row>
    <row r="9" spans="1:12" x14ac:dyDescent="0.2">
      <c r="A9" s="132" t="str">
        <f>CONCATENATE("Delinquent Findings, total N=", 'Data Entry'!B12)</f>
        <v>Delinquent Findings, total N=20</v>
      </c>
      <c r="B9" s="157">
        <f>'Data Entry'!D12/'Data Entry'!B12</f>
        <v>0.05</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0.85</v>
      </c>
      <c r="K9" s="97" t="str">
        <f t="shared" si="0"/>
        <v>Delinquent Findings, total N=20</v>
      </c>
      <c r="L9">
        <f>I14/(SUM(B14:G14))</f>
        <v>10.710359408033828</v>
      </c>
    </row>
    <row r="10" spans="1:12" x14ac:dyDescent="0.2">
      <c r="A10" s="132" t="str">
        <f>CONCATENATE("Petitions, total N=", 'Data Entry'!B11)</f>
        <v>Petitions, total N=35</v>
      </c>
      <c r="B10" s="157">
        <f>'Data Entry'!D11/'Data Entry'!B11</f>
        <v>5.7142857142857141E-2</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0.88571428571428568</v>
      </c>
      <c r="K10" s="97" t="str">
        <f t="shared" si="0"/>
        <v>Petitions, total N=35</v>
      </c>
      <c r="L10">
        <f>I14/(SUM(B14:G14))</f>
        <v>10.710359408033828</v>
      </c>
    </row>
    <row r="11" spans="1:12" x14ac:dyDescent="0.2">
      <c r="A11" s="132" t="str">
        <f>CONCATENATE("Detentions, total N=", 'Data Entry'!B10)</f>
        <v>Detentions, total N=2</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1</v>
      </c>
      <c r="K11" s="97" t="str">
        <f t="shared" si="0"/>
        <v>Detentions, total N=2</v>
      </c>
      <c r="L11">
        <f>I14/(SUM(B14:G14))</f>
        <v>10.710359408033828</v>
      </c>
    </row>
    <row r="12" spans="1:12" x14ac:dyDescent="0.2">
      <c r="A12" s="132" t="str">
        <f>CONCATENATE("Referrals, total N=", 'Data Entry'!B8)</f>
        <v>Referrals, total N=50</v>
      </c>
      <c r="B12" s="157">
        <f>'Data Entry'!D8/'Data Entry'!B8</f>
        <v>0.08</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0.84</v>
      </c>
      <c r="K12" s="97" t="str">
        <f t="shared" si="0"/>
        <v>Referrals, total N=50</v>
      </c>
      <c r="L12">
        <f>I14/(SUM(B14:G14))</f>
        <v>10.710359408033828</v>
      </c>
    </row>
    <row r="13" spans="1:12" x14ac:dyDescent="0.2">
      <c r="A13" s="132" t="str">
        <f>CONCATENATE("Arrests, total N=", 'Data Entry'!B7)</f>
        <v>Arrests, total N=12</v>
      </c>
      <c r="B13" s="157">
        <f>'Data Entry'!D7/'Data Entry'!B7</f>
        <v>0.16666666666666666</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0.83333333333333337</v>
      </c>
      <c r="K13" s="97" t="str">
        <f t="shared" si="0"/>
        <v>Arrests, total N=12</v>
      </c>
      <c r="L13">
        <f>I14/(SUM(B14:G14))</f>
        <v>10.710359408033828</v>
      </c>
    </row>
    <row r="14" spans="1:12" x14ac:dyDescent="0.2">
      <c r="A14" s="132" t="str">
        <f>CONCATENATE("Population, total N=", 'Data Entry'!B6)</f>
        <v>Population, total N=5539</v>
      </c>
      <c r="B14" s="157">
        <f>'Data Entry'!D6/'Data Entry'!B6</f>
        <v>2.1845098393211772E-2</v>
      </c>
      <c r="C14" s="157">
        <f>'Data Entry'!E6/'Data Entry'!B6</f>
        <v>5.1994944935909011E-2</v>
      </c>
      <c r="D14" s="157">
        <f>'Data Entry'!F6/'Data Entry'!B6</f>
        <v>5.957754107239574E-3</v>
      </c>
      <c r="E14" s="157">
        <f>'Data Entry'!G6/'Data Entry'!B6</f>
        <v>0</v>
      </c>
      <c r="F14" s="157">
        <f>'Data Entry'!H6/'Data Entry'!B6</f>
        <v>5.596678100740206E-3</v>
      </c>
      <c r="G14" s="157">
        <f>'Data Entry'!I6/'Data Entry'!B6</f>
        <v>0</v>
      </c>
      <c r="H14" s="157">
        <f>SUM(D14:G14)/'Data Entry'!B6</f>
        <v>2.0860141195125075E-6</v>
      </c>
      <c r="I14" s="157">
        <f>'Data Entry'!C6/'Data Entry'!B6</f>
        <v>0.91460552446289944</v>
      </c>
      <c r="K14" s="97" t="str">
        <f t="shared" si="0"/>
        <v>Population, total N=5539</v>
      </c>
      <c r="L14">
        <f>I14/(SUM(B14:G14))</f>
        <v>10.710359408033828</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Barry</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5066</v>
      </c>
      <c r="D7" s="105">
        <f>'Data Entry'!D6</f>
        <v>121</v>
      </c>
      <c r="E7" s="106"/>
      <c r="F7" s="107">
        <f>'Data Entry'!E6</f>
        <v>288</v>
      </c>
      <c r="G7" s="106"/>
      <c r="H7" s="107">
        <f>'Data Entry'!F6</f>
        <v>33</v>
      </c>
      <c r="I7" s="106"/>
      <c r="J7" s="107">
        <f>'Data Entry'!J6</f>
        <v>473</v>
      </c>
      <c r="K7" s="108"/>
    </row>
    <row r="8" spans="2:30" s="1" customFormat="1" ht="15" customHeight="1" x14ac:dyDescent="0.3">
      <c r="B8" s="125" t="s">
        <v>8</v>
      </c>
      <c r="C8" s="104">
        <f>'Data Entry'!C7</f>
        <v>10</v>
      </c>
      <c r="D8" s="105">
        <f>'Data Entry'!D7</f>
        <v>2</v>
      </c>
      <c r="E8" s="106" t="str">
        <f>'Black or African-American'!$G7</f>
        <v>**</v>
      </c>
      <c r="F8" s="107">
        <f>'Data Entry'!E7</f>
        <v>0</v>
      </c>
      <c r="G8" s="106" t="str">
        <f>Hispanic!G7</f>
        <v>**</v>
      </c>
      <c r="H8" s="107">
        <f>'Data Entry'!F7</f>
        <v>0</v>
      </c>
      <c r="I8" s="106" t="str">
        <f>Asian!G7</f>
        <v>*</v>
      </c>
      <c r="J8" s="107">
        <f>'Data Entry'!J7</f>
        <v>2</v>
      </c>
      <c r="K8" s="108" t="str">
        <f>'All Minorities'!G7</f>
        <v>**</v>
      </c>
      <c r="L8"/>
      <c r="N8" s="1">
        <f>'Black or African-American'!L7</f>
        <v>20</v>
      </c>
      <c r="O8" s="1">
        <f>Hispanic!L7</f>
        <v>40</v>
      </c>
      <c r="P8" s="1">
        <f>Asian!L7</f>
        <v>139</v>
      </c>
      <c r="Q8" s="1" t="e">
        <f>Hawaiian!L7</f>
        <v>#VALUE!</v>
      </c>
      <c r="R8" s="1">
        <f>'Am Indian'!L7</f>
        <v>139</v>
      </c>
      <c r="S8" s="1" t="e">
        <f>'Other - Mixed'!L7</f>
        <v>#VALUE!</v>
      </c>
      <c r="T8" s="1">
        <f>'All Minorities'!L7</f>
        <v>40</v>
      </c>
    </row>
    <row r="9" spans="2:30" s="1" customFormat="1" ht="15" customHeight="1" x14ac:dyDescent="0.3">
      <c r="B9" s="125" t="s">
        <v>134</v>
      </c>
      <c r="C9" s="104">
        <f>'Data Entry'!C8</f>
        <v>42</v>
      </c>
      <c r="D9" s="109">
        <f>'Data Entry'!D8</f>
        <v>4</v>
      </c>
      <c r="E9" s="110" t="str">
        <f>'Black or African-American'!$G8</f>
        <v>**</v>
      </c>
      <c r="F9" s="111">
        <f>'Data Entry'!E8</f>
        <v>0</v>
      </c>
      <c r="G9" s="110" t="str">
        <f>Hispanic!G8</f>
        <v>**</v>
      </c>
      <c r="H9" s="111">
        <f>'Data Entry'!F8</f>
        <v>0</v>
      </c>
      <c r="I9" s="110" t="str">
        <f>Asian!G8</f>
        <v>*</v>
      </c>
      <c r="J9" s="111">
        <f>'Data Entry'!J8</f>
        <v>4</v>
      </c>
      <c r="K9" s="112"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x14ac:dyDescent="0.3">
      <c r="B10" s="125" t="s">
        <v>10</v>
      </c>
      <c r="C10" s="104">
        <f>'Data Entry'!C9</f>
        <v>4</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f>'Black or African-American'!L9</f>
        <v>40</v>
      </c>
      <c r="O10" s="1" t="e">
        <f>Hispanic!L9</f>
        <v>#VALUE!</v>
      </c>
      <c r="P10" s="1" t="e">
        <f>Asian!L9</f>
        <v>#VALUE!</v>
      </c>
      <c r="Q10" s="1" t="e">
        <f>Hawaiian!L9</f>
        <v>#VALUE!</v>
      </c>
      <c r="R10" s="1" t="e">
        <f>'Am Indian'!L9</f>
        <v>#VALUE!</v>
      </c>
      <c r="S10" s="1" t="e">
        <f>'Other - Mixed'!L9</f>
        <v>#VALUE!</v>
      </c>
      <c r="T10" s="1">
        <f>'All Minorities'!L9</f>
        <v>40</v>
      </c>
    </row>
    <row r="11" spans="2:30" s="1" customFormat="1" ht="15" customHeight="1" x14ac:dyDescent="0.3">
      <c r="B11" s="125" t="s">
        <v>11</v>
      </c>
      <c r="C11" s="104">
        <f>'Data Entry'!C10</f>
        <v>2</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f>'Black or African-American'!L10</f>
        <v>40</v>
      </c>
      <c r="O11" s="1" t="e">
        <f>Hispanic!L10</f>
        <v>#VALUE!</v>
      </c>
      <c r="P11" s="1" t="e">
        <f>Asian!L10</f>
        <v>#VALUE!</v>
      </c>
      <c r="Q11" s="1" t="e">
        <f>Hawaiian!L10</f>
        <v>#VALUE!</v>
      </c>
      <c r="R11" s="1" t="e">
        <f>'Am Indian'!L10</f>
        <v>#VALUE!</v>
      </c>
      <c r="S11" s="1" t="e">
        <f>'Other - Mixed'!L10</f>
        <v>#VALUE!</v>
      </c>
      <c r="T11" s="1">
        <f>'All Minorities'!L10</f>
        <v>40</v>
      </c>
    </row>
    <row r="12" spans="2:30" s="1" customFormat="1" ht="15" customHeight="1" x14ac:dyDescent="0.3">
      <c r="B12" s="125" t="s">
        <v>95</v>
      </c>
      <c r="C12" s="104">
        <f>'Data Entry'!C11</f>
        <v>31</v>
      </c>
      <c r="D12" s="113">
        <f>'Data Entry'!D11</f>
        <v>2</v>
      </c>
      <c r="E12" s="114" t="str">
        <f>'Black or African-American'!$G11</f>
        <v>**</v>
      </c>
      <c r="F12" s="115">
        <f>'Data Entry'!E11</f>
        <v>0</v>
      </c>
      <c r="G12" s="114" t="str">
        <f>Hispanic!G11</f>
        <v>--</v>
      </c>
      <c r="H12" s="115">
        <f>'Data Entry'!F11</f>
        <v>0</v>
      </c>
      <c r="I12" s="114" t="str">
        <f>Asian!G11</f>
        <v>*</v>
      </c>
      <c r="J12" s="115">
        <f>'Data Entry'!J11</f>
        <v>2</v>
      </c>
      <c r="K12" s="116"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x14ac:dyDescent="0.3">
      <c r="B13" s="125" t="s">
        <v>13</v>
      </c>
      <c r="C13" s="104">
        <f>'Data Entry'!C12</f>
        <v>17</v>
      </c>
      <c r="D13" s="109">
        <f>'Data Entry'!D12</f>
        <v>1</v>
      </c>
      <c r="E13" s="110" t="str">
        <f>'Black or African-American'!$G12</f>
        <v>**</v>
      </c>
      <c r="F13" s="111">
        <f>'Data Entry'!E12</f>
        <v>0</v>
      </c>
      <c r="G13" s="110" t="str">
        <f>Hispanic!G12</f>
        <v>--</v>
      </c>
      <c r="H13" s="111">
        <f>'Data Entry'!F12</f>
        <v>0</v>
      </c>
      <c r="I13" s="110" t="str">
        <f>Asian!G12</f>
        <v>*</v>
      </c>
      <c r="J13" s="111">
        <f>'Data Entry'!J12</f>
        <v>1</v>
      </c>
      <c r="K13" s="112"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3</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f>'Black or African-American'!L14</f>
        <v>40</v>
      </c>
      <c r="O15" s="1" t="e">
        <f>Hispanic!L14</f>
        <v>#VALUE!</v>
      </c>
      <c r="P15" s="1" t="e">
        <f>Asian!L14</f>
        <v>#VALUE!</v>
      </c>
      <c r="Q15" s="1" t="e">
        <f>Hawaiian!L14</f>
        <v>#VALUE!</v>
      </c>
      <c r="R15" s="1" t="e">
        <f>'Am Indian'!L14</f>
        <v>#VALUE!</v>
      </c>
      <c r="S15" s="1" t="e">
        <f>'Other - Mixed'!L14</f>
        <v>#VALUE!</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Barry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5066</v>
      </c>
      <c r="D6" s="34"/>
      <c r="E6" s="33">
        <f>'Data Entry'!D6</f>
        <v>121</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10</v>
      </c>
      <c r="D7" s="34">
        <f>IF((AND(C66&gt;0,C7&gt;0)),(C7/C66),0)</f>
        <v>1.9739439399921044</v>
      </c>
      <c r="E7" s="33">
        <f>'Data Entry'!D7</f>
        <v>2</v>
      </c>
      <c r="F7" s="34">
        <f>IF((AND($E$7&gt;0,$D$66&gt;0)),($E$7/$D$66),0)</f>
        <v>16.528925619834713</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2</v>
      </c>
      <c r="O7" s="42">
        <f>E6-E7</f>
        <v>119</v>
      </c>
      <c r="P7" s="42">
        <f t="shared" ref="P7:P15" si="2">C7</f>
        <v>10</v>
      </c>
      <c r="Q7" s="42">
        <f>C6-C7</f>
        <v>5056</v>
      </c>
      <c r="R7" s="42">
        <f t="shared" ref="R7:R15" si="3">SUM(N7:Q7)</f>
        <v>5187</v>
      </c>
      <c r="S7" s="30">
        <f t="shared" ref="S7:S15" si="4">R7*((((N7*Q7)-(O7*P7))^2))</f>
        <v>412896009708</v>
      </c>
      <c r="T7" s="30">
        <f t="shared" ref="T7:T15" si="5">(N7+O7)*(P7+Q7)*(N7+P7)*(O7+Q7)</f>
        <v>38066430600</v>
      </c>
      <c r="U7" s="31">
        <f t="shared" ref="U7:U15" si="6">IF((S7&gt;0),S7/T7,"- -")</f>
        <v>10.84672251114608</v>
      </c>
    </row>
    <row r="8" spans="2:21" ht="18" customHeight="1" x14ac:dyDescent="0.25">
      <c r="B8" s="32" t="str">
        <f>'Data Entry'!A8</f>
        <v>3. Refer to Juvenile Court</v>
      </c>
      <c r="C8" s="33">
        <f>'Data Entry'!C8</f>
        <v>42</v>
      </c>
      <c r="D8" s="34">
        <f>IF((AND(C67&gt;0,C8&gt;0)),(C8/C67),0)</f>
        <v>420</v>
      </c>
      <c r="E8" s="33">
        <f>'Data Entry'!D8</f>
        <v>4</v>
      </c>
      <c r="F8" s="34">
        <f>IF((AND($E$8&gt;0,$D$67&gt;0)),($E8/$D67),0)</f>
        <v>200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4</v>
      </c>
      <c r="O8" s="42">
        <f>((D67*L67)-E8)+0.05</f>
        <v>-1.95</v>
      </c>
      <c r="P8" s="42">
        <f t="shared" si="2"/>
        <v>42</v>
      </c>
      <c r="Q8" s="42">
        <f>(C$67*L67)-C8</f>
        <v>-32</v>
      </c>
      <c r="R8" s="42">
        <f t="shared" si="3"/>
        <v>12.049999999999997</v>
      </c>
      <c r="S8" s="30">
        <f t="shared" si="4"/>
        <v>25608.780500000004</v>
      </c>
      <c r="T8" s="30">
        <f t="shared" si="5"/>
        <v>-32014.850000000002</v>
      </c>
      <c r="U8" s="31">
        <f t="shared" si="6"/>
        <v>-0.79990318555295437</v>
      </c>
    </row>
    <row r="9" spans="2:21" ht="18" customHeight="1" x14ac:dyDescent="0.25">
      <c r="B9" s="32" t="str">
        <f>'Data Entry'!A9</f>
        <v xml:space="preserve">4. Cases Diverted </v>
      </c>
      <c r="C9" s="33">
        <f>'Data Entry'!C9</f>
        <v>4</v>
      </c>
      <c r="D9" s="34">
        <f>IF((AND(C68&gt;0,C9&gt;0)),((C9/C68)),0)</f>
        <v>9.5238095238095237</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4</v>
      </c>
      <c r="P9" s="42">
        <f t="shared" si="2"/>
        <v>4</v>
      </c>
      <c r="Q9" s="42">
        <f>(C$68*L68)-C9</f>
        <v>38</v>
      </c>
      <c r="R9" s="42">
        <f t="shared" si="3"/>
        <v>46</v>
      </c>
      <c r="S9" s="30">
        <f t="shared" si="4"/>
        <v>11776</v>
      </c>
      <c r="T9" s="30">
        <f t="shared" si="5"/>
        <v>28224</v>
      </c>
      <c r="U9" s="31">
        <f t="shared" si="6"/>
        <v>0.41723356009070295</v>
      </c>
    </row>
    <row r="10" spans="2:21" ht="18" customHeight="1" x14ac:dyDescent="0.25">
      <c r="B10" s="32" t="str">
        <f>'Data Entry'!A10</f>
        <v>5. Cases Involving Secure Detention</v>
      </c>
      <c r="C10" s="33">
        <f>'Data Entry'!C10</f>
        <v>2</v>
      </c>
      <c r="D10" s="34">
        <f>IF(((AND(C68&gt;0,C10&gt;0))),(C10/(C68)),0)</f>
        <v>4.7619047619047619</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4</v>
      </c>
      <c r="P10" s="42">
        <f t="shared" si="2"/>
        <v>2</v>
      </c>
      <c r="Q10" s="42">
        <f>(C$68*L68)-C10</f>
        <v>40</v>
      </c>
      <c r="R10" s="42">
        <f t="shared" si="3"/>
        <v>46</v>
      </c>
      <c r="S10" s="30">
        <f t="shared" si="4"/>
        <v>2944</v>
      </c>
      <c r="T10" s="30">
        <f t="shared" si="5"/>
        <v>14784</v>
      </c>
      <c r="U10" s="31">
        <f t="shared" si="6"/>
        <v>0.19913419913419914</v>
      </c>
    </row>
    <row r="11" spans="2:21" ht="18" customHeight="1" x14ac:dyDescent="0.25">
      <c r="B11" s="32" t="str">
        <f>'Data Entry'!A11</f>
        <v>6. Cases Petitioned (Charge Filed)</v>
      </c>
      <c r="C11" s="33">
        <f>'Data Entry'!C11</f>
        <v>31</v>
      </c>
      <c r="D11" s="34">
        <f>IF(((AND(C68&gt;0,C11&gt;0))),(C11/(C68)),0)</f>
        <v>73.80952380952381</v>
      </c>
      <c r="E11" s="33">
        <f>'Data Entry'!D11</f>
        <v>2</v>
      </c>
      <c r="F11" s="34">
        <f>IF(((AND($E$11&gt;0,$D$68&gt;0))),($E$11/($D$68)),0)</f>
        <v>50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2</v>
      </c>
      <c r="P11" s="42">
        <f t="shared" si="2"/>
        <v>31</v>
      </c>
      <c r="Q11" s="42">
        <f>(C$68*L68)-C11</f>
        <v>11</v>
      </c>
      <c r="R11" s="42">
        <f t="shared" si="3"/>
        <v>46</v>
      </c>
      <c r="S11" s="30">
        <f t="shared" si="4"/>
        <v>73600</v>
      </c>
      <c r="T11" s="30">
        <f t="shared" si="5"/>
        <v>72072</v>
      </c>
      <c r="U11" s="31">
        <f t="shared" si="6"/>
        <v>1.0212010212010212</v>
      </c>
    </row>
    <row r="12" spans="2:21" ht="18" customHeight="1" x14ac:dyDescent="0.25">
      <c r="B12" s="32" t="str">
        <f>'Data Entry'!A12</f>
        <v>7. Cases Resulting in Delinquent Findings</v>
      </c>
      <c r="C12" s="33">
        <f>'Data Entry'!C12</f>
        <v>17</v>
      </c>
      <c r="D12" s="34">
        <f>IF(((AND(C69&gt;0,C12&gt;0))),(C12/(C69)),0)</f>
        <v>54.838709677419352</v>
      </c>
      <c r="E12" s="33">
        <f>'Data Entry'!D12</f>
        <v>1</v>
      </c>
      <c r="F12" s="34">
        <f>IF(((AND($D$69&gt;0,$E$12&gt;0))),(E12/(D69)),0)</f>
        <v>50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1</v>
      </c>
      <c r="P12" s="42">
        <f t="shared" si="2"/>
        <v>17</v>
      </c>
      <c r="Q12" s="42">
        <f>(C69*L69)-C12</f>
        <v>14</v>
      </c>
      <c r="R12" s="42">
        <f t="shared" si="3"/>
        <v>33</v>
      </c>
      <c r="S12" s="30">
        <f t="shared" si="4"/>
        <v>297</v>
      </c>
      <c r="T12" s="30">
        <f t="shared" si="5"/>
        <v>16740</v>
      </c>
      <c r="U12" s="31">
        <f t="shared" si="6"/>
        <v>1.7741935483870968E-2</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17</v>
      </c>
      <c r="R13" s="42">
        <f t="shared" si="3"/>
        <v>18</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3</v>
      </c>
      <c r="D14" s="34">
        <f>IF(((AND(C70&gt;0,C14&gt;0))), ((C14/(C70))),0)</f>
        <v>17.647058823529409</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3</v>
      </c>
      <c r="Q14" s="42">
        <f>(C70*L70)-C14</f>
        <v>14</v>
      </c>
      <c r="R14" s="42">
        <f t="shared" si="3"/>
        <v>18</v>
      </c>
      <c r="S14" s="30">
        <f t="shared" si="4"/>
        <v>162</v>
      </c>
      <c r="T14" s="30">
        <f t="shared" si="5"/>
        <v>765</v>
      </c>
      <c r="U14" s="31">
        <f t="shared" si="6"/>
        <v>0.21176470588235294</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31</v>
      </c>
      <c r="R15" s="42">
        <f t="shared" si="3"/>
        <v>33</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5.0659999999999998</v>
      </c>
      <c r="D42" s="56">
        <f>E6/1000</f>
        <v>0.121</v>
      </c>
      <c r="E42" s="56">
        <f>MAX(C42:D42)</f>
        <v>5.0659999999999998</v>
      </c>
      <c r="G42" s="1" t="str">
        <f>B42</f>
        <v>per 1000 youth</v>
      </c>
      <c r="L42" s="57">
        <v>1000</v>
      </c>
      <c r="M42" s="57"/>
      <c r="R42" s="49"/>
    </row>
    <row r="43" spans="2:18" ht="15" hidden="1" customHeight="1" x14ac:dyDescent="0.25">
      <c r="B43" s="49" t="s">
        <v>87</v>
      </c>
      <c r="C43" s="56">
        <f>C7/100</f>
        <v>0.1</v>
      </c>
      <c r="D43" s="56">
        <f>E7/100</f>
        <v>0.02</v>
      </c>
      <c r="E43" s="56">
        <f>MAX(C43:D43,0)</f>
        <v>0.1</v>
      </c>
      <c r="G43" s="1" t="str">
        <f>B43</f>
        <v>per 100 arrests</v>
      </c>
      <c r="L43" s="57">
        <v>100</v>
      </c>
      <c r="M43" s="57"/>
      <c r="R43" s="49"/>
    </row>
    <row r="44" spans="2:18" ht="15" hidden="1" customHeight="1" x14ac:dyDescent="0.25">
      <c r="B44" s="49" t="s">
        <v>88</v>
      </c>
      <c r="C44" s="56">
        <f>C8/100</f>
        <v>0.42</v>
      </c>
      <c r="D44" s="56">
        <f>E8/100</f>
        <v>0.04</v>
      </c>
      <c r="E44" s="56">
        <f>MAX(C44:D44,0)</f>
        <v>0.42</v>
      </c>
      <c r="G44" s="1" t="str">
        <f>B44</f>
        <v>per 100 referrals</v>
      </c>
      <c r="L44" s="57">
        <v>100</v>
      </c>
      <c r="M44" s="57"/>
      <c r="R44" s="49"/>
    </row>
    <row r="45" spans="2:18" ht="15" hidden="1" customHeight="1" x14ac:dyDescent="0.25">
      <c r="B45" s="49" t="s">
        <v>89</v>
      </c>
      <c r="C45" s="49">
        <f>C11/100</f>
        <v>0.31</v>
      </c>
      <c r="D45" s="49">
        <f>E11/100</f>
        <v>0.02</v>
      </c>
      <c r="E45" s="56">
        <f>MAX(C45:D45,0)</f>
        <v>0.31</v>
      </c>
      <c r="G45" s="1" t="str">
        <f>B45</f>
        <v>per 100 youth petitioned</v>
      </c>
      <c r="L45" s="57">
        <v>100</v>
      </c>
      <c r="M45" s="57"/>
      <c r="R45" s="49"/>
    </row>
    <row r="46" spans="2:18" ht="15" hidden="1" customHeight="1" x14ac:dyDescent="0.25">
      <c r="B46" s="49" t="s">
        <v>90</v>
      </c>
      <c r="C46" s="49">
        <f>C12/100</f>
        <v>0.17</v>
      </c>
      <c r="D46" s="49">
        <f>E12/100</f>
        <v>0.01</v>
      </c>
      <c r="E46" s="56">
        <f>MAX(C46:D46)</f>
        <v>0.17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5.0659999999999998</v>
      </c>
      <c r="D48" s="56">
        <f>D42</f>
        <v>0.121</v>
      </c>
      <c r="E48" s="56">
        <f>MAX(C48:D48)</f>
        <v>5.0659999999999998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v>
      </c>
      <c r="D49" s="49">
        <f t="shared" si="9"/>
        <v>0.02</v>
      </c>
      <c r="E49" s="49">
        <f>MAX(C49:D49)</f>
        <v>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0.42</v>
      </c>
      <c r="D50" s="49">
        <f t="shared" si="9"/>
        <v>0.04</v>
      </c>
      <c r="E50" s="49">
        <f>MAX(C50:D50)</f>
        <v>0.42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0.31</v>
      </c>
      <c r="D51" s="49">
        <f>IF(($E45&gt;0),D45,D44)</f>
        <v>0.02</v>
      </c>
      <c r="E51" s="49">
        <f>MAX(C51:D51)</f>
        <v>0.31</v>
      </c>
      <c r="G51" s="1" t="str">
        <f>G45</f>
        <v>per 100 youth petitioned</v>
      </c>
      <c r="L51" s="58">
        <f>IF(($E45&gt;0),L45,L44)</f>
        <v>100</v>
      </c>
      <c r="M51" s="58"/>
    </row>
    <row r="52" spans="2:18" ht="15" hidden="1" customHeight="1" x14ac:dyDescent="0.25">
      <c r="B52" s="49" t="str">
        <f>IF(($E46&gt;0),B46,B45)</f>
        <v>per 100 youth found delinquent</v>
      </c>
      <c r="C52" s="49">
        <f>IF(($E46&gt;0),C46,C45)</f>
        <v>0.17</v>
      </c>
      <c r="D52" s="49">
        <f>IF(($E46&gt;0),D46,D45)</f>
        <v>0.01</v>
      </c>
      <c r="E52" s="56">
        <f>MAX(C52:D52)</f>
        <v>0.17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5.0659999999999998</v>
      </c>
      <c r="D54" s="56">
        <f>D48</f>
        <v>0.121</v>
      </c>
      <c r="E54" s="56">
        <f>MAX(C54:D54)</f>
        <v>5.0659999999999998</v>
      </c>
      <c r="G54" s="1" t="str">
        <f>G48</f>
        <v>per 1000 youth</v>
      </c>
      <c r="L54" s="58">
        <f>L48</f>
        <v>1000</v>
      </c>
      <c r="M54" s="58"/>
    </row>
    <row r="55" spans="2:18" ht="15" hidden="1" customHeight="1" x14ac:dyDescent="0.25">
      <c r="B55" s="49" t="str">
        <f t="shared" ref="B55:D56" si="10">IF(($E49&gt;0),B49,B48)</f>
        <v>per 100 arrests</v>
      </c>
      <c r="C55" s="49">
        <f t="shared" si="10"/>
        <v>0.1</v>
      </c>
      <c r="D55" s="49">
        <f t="shared" si="10"/>
        <v>0.02</v>
      </c>
      <c r="E55" s="49">
        <f>MAX(C55:D55)</f>
        <v>0.1</v>
      </c>
      <c r="G55" s="1" t="str">
        <f>G49</f>
        <v>per 100 arrests</v>
      </c>
      <c r="L55" s="58">
        <f>IF(($E49&gt;0),L49,L48)</f>
        <v>100</v>
      </c>
      <c r="M55" s="58"/>
    </row>
    <row r="56" spans="2:18" ht="15" hidden="1" customHeight="1" x14ac:dyDescent="0.25">
      <c r="B56" s="49" t="str">
        <f t="shared" si="10"/>
        <v>per 100 referrals</v>
      </c>
      <c r="C56" s="49">
        <f t="shared" si="10"/>
        <v>0.42</v>
      </c>
      <c r="D56" s="49">
        <f t="shared" si="10"/>
        <v>0.04</v>
      </c>
      <c r="E56" s="49">
        <f>MAX(C56:D56)</f>
        <v>0.42</v>
      </c>
      <c r="G56" s="1" t="str">
        <f>G50</f>
        <v>per 100 referrals</v>
      </c>
      <c r="L56" s="58">
        <f>IF(($E50&gt;0),L50,L49)</f>
        <v>100</v>
      </c>
      <c r="M56" s="58"/>
    </row>
    <row r="57" spans="2:18" ht="15" hidden="1" customHeight="1" x14ac:dyDescent="0.25">
      <c r="B57" s="49" t="str">
        <f>IF(($E51&gt;0),B51,B49)</f>
        <v>per 100 youth petitioned</v>
      </c>
      <c r="C57" s="49">
        <f>IF(($E51&gt;0),C51,C50)</f>
        <v>0.31</v>
      </c>
      <c r="D57" s="49">
        <f>IF(($E51&gt;0),D51,D50)</f>
        <v>0.02</v>
      </c>
      <c r="E57" s="49">
        <f>MAX(C57:D57)</f>
        <v>0.31</v>
      </c>
      <c r="G57" s="1" t="str">
        <f>G51</f>
        <v>per 100 youth petitioned</v>
      </c>
      <c r="L57" s="58">
        <f>IF(($E51&gt;0),L51,L50)</f>
        <v>100</v>
      </c>
      <c r="M57" s="58"/>
    </row>
    <row r="58" spans="2:18" ht="15" hidden="1" customHeight="1" x14ac:dyDescent="0.25">
      <c r="B58" s="49" t="str">
        <f>IF(($E52&gt;0),B52,B51)</f>
        <v>per 100 youth found delinquent</v>
      </c>
      <c r="C58" s="49">
        <f>IF(($E52&gt;0),C52,C51)</f>
        <v>0.17</v>
      </c>
      <c r="D58" s="49">
        <f>IF(($E52&gt;0),D52,D51)</f>
        <v>0.01</v>
      </c>
      <c r="E58" s="56">
        <f>MAX(C58:D58)</f>
        <v>0.17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5.0659999999999998</v>
      </c>
      <c r="D60" s="56">
        <f>D54</f>
        <v>0.121</v>
      </c>
      <c r="E60" s="56">
        <f>MAX(C60:D60)</f>
        <v>5.0659999999999998</v>
      </c>
      <c r="G60" s="1" t="str">
        <f>G54</f>
        <v>per 1000 youth</v>
      </c>
      <c r="L60" s="58">
        <f>L54</f>
        <v>1000</v>
      </c>
      <c r="M60" s="58"/>
    </row>
    <row r="61" spans="2:18" ht="15" hidden="1" customHeight="1" x14ac:dyDescent="0.25">
      <c r="B61" s="49" t="str">
        <f t="shared" ref="B61:D62" si="11">IF(($E55&gt;0),B55,B54)</f>
        <v>per 100 arrests</v>
      </c>
      <c r="C61" s="49">
        <f t="shared" si="11"/>
        <v>0.1</v>
      </c>
      <c r="D61" s="49">
        <f t="shared" si="11"/>
        <v>0.02</v>
      </c>
      <c r="E61" s="49">
        <f>MAX(C61:D61)</f>
        <v>0.1</v>
      </c>
      <c r="G61" s="1" t="str">
        <f>G55</f>
        <v>per 100 arrests</v>
      </c>
      <c r="L61" s="58">
        <f>IF(($E55&gt;0),L55,L54)</f>
        <v>100</v>
      </c>
      <c r="M61" s="58"/>
    </row>
    <row r="62" spans="2:18" ht="15" hidden="1" customHeight="1" x14ac:dyDescent="0.25">
      <c r="B62" s="49" t="str">
        <f t="shared" si="11"/>
        <v>per 100 referrals</v>
      </c>
      <c r="C62" s="49">
        <f t="shared" si="11"/>
        <v>0.42</v>
      </c>
      <c r="D62" s="49">
        <f t="shared" si="11"/>
        <v>0.04</v>
      </c>
      <c r="E62" s="49">
        <f>MAX(C62:D62)</f>
        <v>0.42</v>
      </c>
      <c r="G62" s="1" t="str">
        <f>G56</f>
        <v>per 100 referrals</v>
      </c>
      <c r="L62" s="58">
        <f>IF(($E56&gt;0),L56,L55)</f>
        <v>100</v>
      </c>
      <c r="M62" s="58"/>
    </row>
    <row r="63" spans="2:18" ht="15" hidden="1" customHeight="1" x14ac:dyDescent="0.25">
      <c r="B63" s="49" t="str">
        <f>IF(($E57&gt;0),B57,B55)</f>
        <v>per 100 youth petitioned</v>
      </c>
      <c r="C63" s="49">
        <f>IF(($E57&gt;0),C57,C56)</f>
        <v>0.31</v>
      </c>
      <c r="D63" s="49">
        <f>IF(($E57&gt;0),D57,D56)</f>
        <v>0.02</v>
      </c>
      <c r="E63" s="49">
        <f>MAX(C63:D63)</f>
        <v>0.31</v>
      </c>
      <c r="G63" s="1" t="str">
        <f>G57</f>
        <v>per 100 youth petitioned</v>
      </c>
      <c r="L63" s="58">
        <f>IF(($E57&gt;0),L57,L56)</f>
        <v>100</v>
      </c>
      <c r="M63" s="58"/>
    </row>
    <row r="64" spans="2:18" ht="15" hidden="1" customHeight="1" x14ac:dyDescent="0.25">
      <c r="B64" s="49" t="str">
        <f>IF(($E58&gt;0),B58,B57)</f>
        <v>per 100 youth found delinquent</v>
      </c>
      <c r="C64" s="49">
        <f>IF(($E58&gt;0),C58,C57)</f>
        <v>0.17</v>
      </c>
      <c r="D64" s="49">
        <f>IF(($E58&gt;0),D58,D57)</f>
        <v>0.01</v>
      </c>
      <c r="E64" s="56">
        <f>MAX(C64:D64)</f>
        <v>0.17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5.0659999999999998</v>
      </c>
      <c r="D66" s="56">
        <f>D60</f>
        <v>0.121</v>
      </c>
      <c r="E66" s="56">
        <f>MAX(C66:D66)</f>
        <v>5.0659999999999998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0.1</v>
      </c>
      <c r="D67" s="49">
        <f t="shared" si="12"/>
        <v>0.02</v>
      </c>
      <c r="E67" s="49">
        <f>MAX(C67:D67)</f>
        <v>0.1</v>
      </c>
      <c r="G67" s="1" t="str">
        <f>G61</f>
        <v>per 100 arrests</v>
      </c>
      <c r="L67" s="58">
        <f>IF(($E61&gt;0),L61,L60)</f>
        <v>100</v>
      </c>
      <c r="M67" s="58">
        <f>IF((B67=G67),1,2)</f>
        <v>1</v>
      </c>
    </row>
    <row r="68" spans="2:13" ht="15" hidden="1" customHeight="1" x14ac:dyDescent="0.25">
      <c r="B68" s="49" t="str">
        <f t="shared" si="12"/>
        <v>per 100 referrals</v>
      </c>
      <c r="C68" s="49">
        <f t="shared" si="12"/>
        <v>0.42</v>
      </c>
      <c r="D68" s="49">
        <f t="shared" si="12"/>
        <v>0.04</v>
      </c>
      <c r="E68" s="49">
        <f>MAX(C68:D68)</f>
        <v>0.42</v>
      </c>
      <c r="G68" s="1" t="str">
        <f>G62</f>
        <v>per 100 referrals</v>
      </c>
      <c r="L68" s="58">
        <f>IF(($E62&gt;0),L62,L61)</f>
        <v>100</v>
      </c>
      <c r="M68" s="58">
        <f>IF((B68=G68),1,2)</f>
        <v>1</v>
      </c>
    </row>
    <row r="69" spans="2:13" ht="15" hidden="1" customHeight="1" x14ac:dyDescent="0.25">
      <c r="B69" s="49" t="str">
        <f>IF(($E63&gt;0),B63,B61)</f>
        <v>per 100 youth petitioned</v>
      </c>
      <c r="C69" s="49">
        <f>IF(($E63&gt;0),C63,C62)</f>
        <v>0.31</v>
      </c>
      <c r="D69" s="49">
        <f>IF(($E63&gt;0),D63,D62)</f>
        <v>0.02</v>
      </c>
      <c r="E69" s="49">
        <f>MAX(C69:D69)</f>
        <v>0.31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0.17</v>
      </c>
      <c r="D70" s="49">
        <f>IF(($E64&gt;0),D64,D63)</f>
        <v>0.01</v>
      </c>
      <c r="E70" s="56">
        <f>MAX(C70:D70)</f>
        <v>0.17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Barry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5066</v>
      </c>
      <c r="D6" s="34"/>
      <c r="E6" s="33">
        <f>'Data Entry'!F6</f>
        <v>33</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10</v>
      </c>
      <c r="D7" s="34">
        <f>IF((AND(C66&gt;0,C7&gt;0)),(C7/C66),0)</f>
        <v>1.9739439399921044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33</v>
      </c>
      <c r="P7" s="42">
        <f t="shared" ref="P7:P15" si="4">C7</f>
        <v>10</v>
      </c>
      <c r="Q7" s="42">
        <f>C6-C7</f>
        <v>5056</v>
      </c>
      <c r="R7" s="42">
        <f t="shared" ref="R7:R15" si="5">SUM(N7:Q7)</f>
        <v>5099</v>
      </c>
      <c r="S7" s="30">
        <f t="shared" ref="S7:S15" si="6">R7*((((N7*Q7)-(O7*P7))^2))</f>
        <v>555281100</v>
      </c>
      <c r="T7" s="30">
        <f t="shared" ref="T7:T15" si="7">(N7+O7)*(P7+Q7)*(N7+P7)*(O7+Q7)</f>
        <v>8507688420</v>
      </c>
      <c r="U7" s="31">
        <f t="shared" ref="U7:U15" si="8">IF((S7&gt;0),S7/T7,"- -")</f>
        <v>6.5268151886549691E-2</v>
      </c>
    </row>
    <row r="8" spans="2:21" ht="18" customHeight="1" x14ac:dyDescent="0.25">
      <c r="B8" s="32" t="str">
        <f>'Data Entry'!A8</f>
        <v>3. Refer to Juvenile Court</v>
      </c>
      <c r="C8" s="33">
        <f>'Data Entry'!C8</f>
        <v>42</v>
      </c>
      <c r="D8" s="34">
        <f>IF((AND(C67&gt;0,C8&gt;0)),(C8/C67),0)</f>
        <v>420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42</v>
      </c>
      <c r="Q8" s="42">
        <f>(C$67*L67)-C8</f>
        <v>-32</v>
      </c>
      <c r="R8" s="42">
        <f t="shared" si="5"/>
        <v>10.049999999999997</v>
      </c>
      <c r="S8" s="30">
        <f t="shared" si="6"/>
        <v>44.320499999999988</v>
      </c>
      <c r="T8" s="30">
        <f t="shared" si="7"/>
        <v>-670.94999999999993</v>
      </c>
      <c r="U8" s="31">
        <f t="shared" si="8"/>
        <v>-6.6056338028169001E-2</v>
      </c>
    </row>
    <row r="9" spans="2:21" ht="18" customHeight="1" x14ac:dyDescent="0.25">
      <c r="B9" s="32" t="str">
        <f>'Data Entry'!A9</f>
        <v xml:space="preserve">4. Cases Diverted </v>
      </c>
      <c r="C9" s="33">
        <f>'Data Entry'!C9</f>
        <v>4</v>
      </c>
      <c r="D9" s="34">
        <f>IF((AND(C68&gt;0,C9&gt;0)),((C9/C68)),0)</f>
        <v>9.5238095238095237</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38</v>
      </c>
      <c r="R9" s="42">
        <f t="shared" si="5"/>
        <v>42</v>
      </c>
      <c r="S9" s="30">
        <f t="shared" si="6"/>
        <v>0</v>
      </c>
      <c r="T9" s="30">
        <f t="shared" si="7"/>
        <v>0</v>
      </c>
      <c r="U9" s="31" t="str">
        <f t="shared" si="8"/>
        <v>- -</v>
      </c>
    </row>
    <row r="10" spans="2:21" ht="18" customHeight="1" x14ac:dyDescent="0.25">
      <c r="B10" s="32" t="str">
        <f>'Data Entry'!A10</f>
        <v>5. Cases Involving Secure Detention</v>
      </c>
      <c r="C10" s="33">
        <f>'Data Entry'!C10</f>
        <v>2</v>
      </c>
      <c r="D10" s="34">
        <f>IF(((AND(C68&gt;0,C10&gt;0))),(C10/(C68)),0)</f>
        <v>4.7619047619047619</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40</v>
      </c>
      <c r="R10" s="42">
        <f t="shared" si="5"/>
        <v>42</v>
      </c>
      <c r="S10" s="30">
        <f t="shared" si="6"/>
        <v>0</v>
      </c>
      <c r="T10" s="30">
        <f t="shared" si="7"/>
        <v>0</v>
      </c>
      <c r="U10" s="31" t="str">
        <f t="shared" si="8"/>
        <v>- -</v>
      </c>
    </row>
    <row r="11" spans="2:21" ht="18" customHeight="1" x14ac:dyDescent="0.25">
      <c r="B11" s="32" t="str">
        <f>'Data Entry'!A11</f>
        <v>6. Cases Petitioned (Charge Filed)</v>
      </c>
      <c r="C11" s="33">
        <f>'Data Entry'!C11</f>
        <v>31</v>
      </c>
      <c r="D11" s="34">
        <f>IF(((AND(C68&gt;0,C11&gt;0))),(C11/(C68)),0)</f>
        <v>73.80952380952381</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31</v>
      </c>
      <c r="Q11" s="42">
        <f>(C$68*L68)-C11</f>
        <v>11</v>
      </c>
      <c r="R11" s="42">
        <f t="shared" si="5"/>
        <v>42</v>
      </c>
      <c r="S11" s="30">
        <f t="shared" si="6"/>
        <v>0</v>
      </c>
      <c r="T11" s="30">
        <f t="shared" si="7"/>
        <v>0</v>
      </c>
      <c r="U11" s="31" t="str">
        <f t="shared" si="8"/>
        <v>- -</v>
      </c>
    </row>
    <row r="12" spans="2:21" ht="18" customHeight="1" x14ac:dyDescent="0.25">
      <c r="B12" s="32" t="str">
        <f>'Data Entry'!A12</f>
        <v>7. Cases Resulting in Delinquent Findings</v>
      </c>
      <c r="C12" s="33">
        <f>'Data Entry'!C12</f>
        <v>17</v>
      </c>
      <c r="D12" s="34">
        <f>IF(((AND(C69&gt;0,C12&gt;0))),(C12/(C69)),0)</f>
        <v>54.838709677419352</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14</v>
      </c>
      <c r="R12" s="42">
        <f t="shared" si="5"/>
        <v>31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17.647058823529409</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14</v>
      </c>
      <c r="R14" s="42">
        <f t="shared" si="5"/>
        <v>17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5.0659999999999998</v>
      </c>
      <c r="D42" s="56">
        <f>E6/1000</f>
        <v>3.3000000000000002E-2</v>
      </c>
      <c r="E42" s="56">
        <f>MAX(C42:D42)</f>
        <v>5.0659999999999998</v>
      </c>
      <c r="G42" s="1" t="str">
        <f>B42</f>
        <v>per 1000 youth</v>
      </c>
      <c r="L42" s="57">
        <v>1000</v>
      </c>
      <c r="M42" s="57"/>
      <c r="R42" s="49"/>
    </row>
    <row r="43" spans="2:18" ht="15" hidden="1" customHeight="1" x14ac:dyDescent="0.25">
      <c r="B43" s="49" t="s">
        <v>87</v>
      </c>
      <c r="C43" s="56">
        <f>C7/100</f>
        <v>0.1</v>
      </c>
      <c r="D43" s="56">
        <f>E7/100</f>
        <v>0</v>
      </c>
      <c r="E43" s="56">
        <f>MAX(C43:D43,0)</f>
        <v>0.1</v>
      </c>
      <c r="G43" s="1" t="str">
        <f>B43</f>
        <v>per 100 arrests</v>
      </c>
      <c r="L43" s="57">
        <v>100</v>
      </c>
      <c r="M43" s="57"/>
      <c r="R43" s="49"/>
    </row>
    <row r="44" spans="2:18" ht="15" hidden="1" customHeight="1" x14ac:dyDescent="0.25">
      <c r="B44" s="49" t="s">
        <v>88</v>
      </c>
      <c r="C44" s="56">
        <f>C8/100</f>
        <v>0.42</v>
      </c>
      <c r="D44" s="56">
        <f>E8/100</f>
        <v>0</v>
      </c>
      <c r="E44" s="56">
        <f>MAX(C44:D44,0)</f>
        <v>0.42</v>
      </c>
      <c r="G44" s="1" t="str">
        <f>B44</f>
        <v>per 100 referrals</v>
      </c>
      <c r="L44" s="57">
        <v>100</v>
      </c>
      <c r="M44" s="57"/>
      <c r="R44" s="49"/>
    </row>
    <row r="45" spans="2:18" ht="15" hidden="1" customHeight="1" x14ac:dyDescent="0.25">
      <c r="B45" s="49" t="s">
        <v>89</v>
      </c>
      <c r="C45" s="49">
        <f>C11/100</f>
        <v>0.31</v>
      </c>
      <c r="D45" s="49">
        <f>E11/100</f>
        <v>0</v>
      </c>
      <c r="E45" s="56">
        <f>MAX(C45:D45,0)</f>
        <v>0.31</v>
      </c>
      <c r="G45" s="1" t="str">
        <f>B45</f>
        <v>per 100 youth petitioned</v>
      </c>
      <c r="L45" s="57">
        <v>100</v>
      </c>
      <c r="M45" s="57"/>
      <c r="R45" s="49"/>
    </row>
    <row r="46" spans="2:18" ht="15" hidden="1" customHeight="1" x14ac:dyDescent="0.25">
      <c r="B46" s="49" t="s">
        <v>90</v>
      </c>
      <c r="C46" s="49">
        <f>C12/100</f>
        <v>0.17</v>
      </c>
      <c r="D46" s="49">
        <f>E12/100</f>
        <v>0</v>
      </c>
      <c r="E46" s="56">
        <f>MAX(C46:D46)</f>
        <v>0.17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5.0659999999999998</v>
      </c>
      <c r="D48" s="56">
        <f>D42</f>
        <v>3.3000000000000002E-2</v>
      </c>
      <c r="E48" s="56">
        <f>MAX(C48:D48)</f>
        <v>5.0659999999999998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v>
      </c>
      <c r="D49" s="49">
        <f t="shared" si="9"/>
        <v>0</v>
      </c>
      <c r="E49" s="49">
        <f>MAX(C49:D49)</f>
        <v>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0.42</v>
      </c>
      <c r="D50" s="49">
        <f t="shared" si="9"/>
        <v>0</v>
      </c>
      <c r="E50" s="49">
        <f>MAX(C50:D50)</f>
        <v>0.42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0.31</v>
      </c>
      <c r="D51" s="49">
        <f>IF(($E45&gt;0),D45,D44)</f>
        <v>0</v>
      </c>
      <c r="E51" s="49">
        <f>MAX(C51:D51)</f>
        <v>0.31</v>
      </c>
      <c r="G51" s="1" t="str">
        <f>G45</f>
        <v>per 100 youth petitioned</v>
      </c>
      <c r="L51" s="58">
        <f>IF(($E45&gt;0),L45,L44)</f>
        <v>100</v>
      </c>
      <c r="M51" s="58"/>
    </row>
    <row r="52" spans="2:18" ht="15" hidden="1" customHeight="1" x14ac:dyDescent="0.25">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5.0659999999999998</v>
      </c>
      <c r="D54" s="56">
        <f>D48</f>
        <v>3.3000000000000002E-2</v>
      </c>
      <c r="E54" s="56">
        <f>MAX(C54:D54)</f>
        <v>5.0659999999999998</v>
      </c>
      <c r="G54" s="1" t="str">
        <f>G48</f>
        <v>per 1000 youth</v>
      </c>
      <c r="L54" s="58">
        <f>L48</f>
        <v>1000</v>
      </c>
      <c r="M54" s="58"/>
    </row>
    <row r="55" spans="2:18" ht="15" hidden="1" customHeight="1" x14ac:dyDescent="0.25">
      <c r="B55" s="49" t="str">
        <f t="shared" ref="B55:D56" si="10">IF(($E49&gt;0),B49,B48)</f>
        <v>per 100 arrests</v>
      </c>
      <c r="C55" s="49">
        <f t="shared" si="10"/>
        <v>0.1</v>
      </c>
      <c r="D55" s="49">
        <f t="shared" si="10"/>
        <v>0</v>
      </c>
      <c r="E55" s="49">
        <f>MAX(C55:D55)</f>
        <v>0.1</v>
      </c>
      <c r="G55" s="1" t="str">
        <f>G49</f>
        <v>per 100 arrests</v>
      </c>
      <c r="L55" s="58">
        <f>IF(($E49&gt;0),L49,L48)</f>
        <v>100</v>
      </c>
      <c r="M55" s="58"/>
    </row>
    <row r="56" spans="2:18" ht="15" hidden="1" customHeight="1" x14ac:dyDescent="0.25">
      <c r="B56" s="49" t="str">
        <f t="shared" si="10"/>
        <v>per 100 referrals</v>
      </c>
      <c r="C56" s="49">
        <f t="shared" si="10"/>
        <v>0.42</v>
      </c>
      <c r="D56" s="49">
        <f t="shared" si="10"/>
        <v>0</v>
      </c>
      <c r="E56" s="49">
        <f>MAX(C56:D56)</f>
        <v>0.42</v>
      </c>
      <c r="G56" s="1" t="str">
        <f>G50</f>
        <v>per 100 referrals</v>
      </c>
      <c r="L56" s="58">
        <f>IF(($E50&gt;0),L50,L49)</f>
        <v>100</v>
      </c>
      <c r="M56" s="58"/>
    </row>
    <row r="57" spans="2:18" ht="15" hidden="1" customHeight="1" x14ac:dyDescent="0.25">
      <c r="B57" s="49" t="str">
        <f>IF(($E51&gt;0),B51,B49)</f>
        <v>per 100 youth petitioned</v>
      </c>
      <c r="C57" s="49">
        <f>IF(($E51&gt;0),C51,C50)</f>
        <v>0.31</v>
      </c>
      <c r="D57" s="49">
        <f>IF(($E51&gt;0),D51,D50)</f>
        <v>0</v>
      </c>
      <c r="E57" s="49">
        <f>MAX(C57:D57)</f>
        <v>0.31</v>
      </c>
      <c r="G57" s="1" t="str">
        <f>G51</f>
        <v>per 100 youth petitioned</v>
      </c>
      <c r="L57" s="58">
        <f>IF(($E51&gt;0),L51,L50)</f>
        <v>100</v>
      </c>
      <c r="M57" s="58"/>
    </row>
    <row r="58" spans="2:18" ht="15" hidden="1" customHeight="1" x14ac:dyDescent="0.25">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5.0659999999999998</v>
      </c>
      <c r="D60" s="56">
        <f>D54</f>
        <v>3.3000000000000002E-2</v>
      </c>
      <c r="E60" s="56">
        <f>MAX(C60:D60)</f>
        <v>5.0659999999999998</v>
      </c>
      <c r="G60" s="1" t="str">
        <f>G54</f>
        <v>per 1000 youth</v>
      </c>
      <c r="L60" s="58">
        <f>L54</f>
        <v>1000</v>
      </c>
      <c r="M60" s="58"/>
    </row>
    <row r="61" spans="2:18" ht="15" hidden="1" customHeight="1" x14ac:dyDescent="0.25">
      <c r="B61" s="49" t="str">
        <f t="shared" ref="B61:D62" si="11">IF(($E55&gt;0),B55,B54)</f>
        <v>per 100 arrests</v>
      </c>
      <c r="C61" s="49">
        <f t="shared" si="11"/>
        <v>0.1</v>
      </c>
      <c r="D61" s="49">
        <f t="shared" si="11"/>
        <v>0</v>
      </c>
      <c r="E61" s="49">
        <f>MAX(C61:D61)</f>
        <v>0.1</v>
      </c>
      <c r="G61" s="1" t="str">
        <f>G55</f>
        <v>per 100 arrests</v>
      </c>
      <c r="L61" s="58">
        <f>IF(($E55&gt;0),L55,L54)</f>
        <v>100</v>
      </c>
      <c r="M61" s="58"/>
    </row>
    <row r="62" spans="2:18" ht="15" hidden="1" customHeight="1" x14ac:dyDescent="0.25">
      <c r="B62" s="49" t="str">
        <f t="shared" si="11"/>
        <v>per 100 referrals</v>
      </c>
      <c r="C62" s="49">
        <f t="shared" si="11"/>
        <v>0.42</v>
      </c>
      <c r="D62" s="49">
        <f t="shared" si="11"/>
        <v>0</v>
      </c>
      <c r="E62" s="49">
        <f>MAX(C62:D62)</f>
        <v>0.42</v>
      </c>
      <c r="G62" s="1" t="str">
        <f>G56</f>
        <v>per 100 referrals</v>
      </c>
      <c r="L62" s="58">
        <f>IF(($E56&gt;0),L56,L55)</f>
        <v>100</v>
      </c>
      <c r="M62" s="58"/>
    </row>
    <row r="63" spans="2:18" ht="15" hidden="1" customHeight="1" x14ac:dyDescent="0.25">
      <c r="B63" s="49" t="str">
        <f>IF(($E57&gt;0),B57,B55)</f>
        <v>per 100 youth petitioned</v>
      </c>
      <c r="C63" s="49">
        <f>IF(($E57&gt;0),C57,C56)</f>
        <v>0.31</v>
      </c>
      <c r="D63" s="49">
        <f>IF(($E57&gt;0),D57,D56)</f>
        <v>0</v>
      </c>
      <c r="E63" s="49">
        <f>MAX(C63:D63)</f>
        <v>0.31</v>
      </c>
      <c r="G63" s="1" t="str">
        <f>G57</f>
        <v>per 100 youth petitioned</v>
      </c>
      <c r="L63" s="58">
        <f>IF(($E57&gt;0),L57,L56)</f>
        <v>100</v>
      </c>
      <c r="M63" s="58"/>
    </row>
    <row r="64" spans="2:18" ht="15" hidden="1" customHeight="1" x14ac:dyDescent="0.25">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5.0659999999999998</v>
      </c>
      <c r="D66" s="56">
        <f>D60</f>
        <v>3.3000000000000002E-2</v>
      </c>
      <c r="E66" s="56">
        <f>MAX(C66:D66)</f>
        <v>5.0659999999999998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0.1</v>
      </c>
      <c r="D67" s="49">
        <f t="shared" si="12"/>
        <v>0</v>
      </c>
      <c r="E67" s="49">
        <f>MAX(C67:D67)</f>
        <v>0.1</v>
      </c>
      <c r="G67" s="1" t="str">
        <f>G61</f>
        <v>per 100 arrests</v>
      </c>
      <c r="L67" s="58">
        <f>IF(($E61&gt;0),L61,L60)</f>
        <v>100</v>
      </c>
      <c r="M67" s="58">
        <f>IF((B67=G67),1,2)</f>
        <v>1</v>
      </c>
    </row>
    <row r="68" spans="2:13" ht="15" hidden="1" customHeight="1" x14ac:dyDescent="0.25">
      <c r="B68" s="49" t="str">
        <f t="shared" si="12"/>
        <v>per 100 referrals</v>
      </c>
      <c r="C68" s="49">
        <f t="shared" si="12"/>
        <v>0.42</v>
      </c>
      <c r="D68" s="49">
        <f t="shared" si="12"/>
        <v>0</v>
      </c>
      <c r="E68" s="49">
        <f>MAX(C68:D68)</f>
        <v>0.42</v>
      </c>
      <c r="G68" s="1" t="str">
        <f>G62</f>
        <v>per 100 referrals</v>
      </c>
      <c r="L68" s="58">
        <f>IF(($E62&gt;0),L62,L61)</f>
        <v>100</v>
      </c>
      <c r="M68" s="58">
        <f>IF((B68=G68),1,2)</f>
        <v>1</v>
      </c>
    </row>
    <row r="69" spans="2:13" ht="15" hidden="1" customHeight="1" x14ac:dyDescent="0.25">
      <c r="B69" s="49" t="str">
        <f>IF(($E63&gt;0),B63,B61)</f>
        <v>per 100 youth petitioned</v>
      </c>
      <c r="C69" s="49">
        <f>IF(($E63&gt;0),C63,C62)</f>
        <v>0.31</v>
      </c>
      <c r="D69" s="49">
        <f>IF(($E63&gt;0),D63,D62)</f>
        <v>0</v>
      </c>
      <c r="E69" s="49">
        <f>MAX(C69:D69)</f>
        <v>0.31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Barry</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5066</v>
      </c>
      <c r="D6" s="34"/>
      <c r="E6" s="33">
        <f>'Data Entry'!E6</f>
        <v>288</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10</v>
      </c>
      <c r="D7" s="34">
        <f>IF((AND(C66&gt;0,C7&gt;0)),(C7/C66),0)</f>
        <v>1.9739439399921044</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288</v>
      </c>
      <c r="P7" s="42">
        <f t="shared" ref="P7:P15" si="4">C7</f>
        <v>10</v>
      </c>
      <c r="Q7" s="42">
        <f>C6-C7</f>
        <v>5056</v>
      </c>
      <c r="R7" s="42">
        <f t="shared" ref="R7:R15" si="5">SUM(N7:Q7)</f>
        <v>5354</v>
      </c>
      <c r="S7" s="30">
        <f t="shared" ref="S7:S15" si="6">R7*((((N7*Q7)-(O7*P7))^2))</f>
        <v>44408217600</v>
      </c>
      <c r="T7" s="30">
        <f t="shared" ref="T7:T15" si="7">(N7+O7)*(P7+Q7)*(N7+P7)*(O7+Q7)</f>
        <v>77969387520</v>
      </c>
      <c r="U7" s="31">
        <f t="shared" ref="U7:U15" si="8">IF((S7&gt;0),S7/T7,"- -")</f>
        <v>0.56955965684107501</v>
      </c>
    </row>
    <row r="8" spans="2:21" ht="18" customHeight="1" x14ac:dyDescent="0.25">
      <c r="B8" s="32" t="str">
        <f>'Data Entry'!A8</f>
        <v>3. Refer to Juvenile Court</v>
      </c>
      <c r="C8" s="33">
        <f>'Data Entry'!C8</f>
        <v>42</v>
      </c>
      <c r="D8" s="34">
        <f>IF((AND(C67&gt;0,C8&gt;0)),(C8/C67),0)</f>
        <v>420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42</v>
      </c>
      <c r="Q8" s="42">
        <f>(C$67*L67)-C8</f>
        <v>-32</v>
      </c>
      <c r="R8" s="42">
        <f t="shared" si="5"/>
        <v>10.049999999999997</v>
      </c>
      <c r="S8" s="30">
        <f t="shared" si="6"/>
        <v>44.320499999999988</v>
      </c>
      <c r="T8" s="30">
        <f t="shared" si="7"/>
        <v>-670.94999999999993</v>
      </c>
      <c r="U8" s="31">
        <f t="shared" si="8"/>
        <v>-6.6056338028169001E-2</v>
      </c>
    </row>
    <row r="9" spans="2:21" ht="18" customHeight="1" x14ac:dyDescent="0.25">
      <c r="B9" s="32" t="str">
        <f>'Data Entry'!A9</f>
        <v xml:space="preserve">4. Cases Diverted </v>
      </c>
      <c r="C9" s="33">
        <f>'Data Entry'!C9</f>
        <v>4</v>
      </c>
      <c r="D9" s="34">
        <f>IF((AND(C68&gt;0,C9&gt;0)),((C9/C68)),0)</f>
        <v>9.5238095238095237</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38</v>
      </c>
      <c r="R9" s="42">
        <f t="shared" si="5"/>
        <v>42</v>
      </c>
      <c r="S9" s="30">
        <f t="shared" si="6"/>
        <v>0</v>
      </c>
      <c r="T9" s="30">
        <f t="shared" si="7"/>
        <v>0</v>
      </c>
      <c r="U9" s="31" t="str">
        <f t="shared" si="8"/>
        <v>- -</v>
      </c>
    </row>
    <row r="10" spans="2:21" ht="18" customHeight="1" x14ac:dyDescent="0.25">
      <c r="B10" s="32" t="str">
        <f>'Data Entry'!A10</f>
        <v>5. Cases Involving Secure Detention</v>
      </c>
      <c r="C10" s="33">
        <f>'Data Entry'!C10</f>
        <v>2</v>
      </c>
      <c r="D10" s="34">
        <f>IF(((AND(C68&gt;0,C10&gt;0))),(C10/(C68)),0)</f>
        <v>4.7619047619047619</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40</v>
      </c>
      <c r="R10" s="42">
        <f t="shared" si="5"/>
        <v>42</v>
      </c>
      <c r="S10" s="30">
        <f t="shared" si="6"/>
        <v>0</v>
      </c>
      <c r="T10" s="30">
        <f t="shared" si="7"/>
        <v>0</v>
      </c>
      <c r="U10" s="31" t="str">
        <f t="shared" si="8"/>
        <v>- -</v>
      </c>
    </row>
    <row r="11" spans="2:21" ht="18" customHeight="1" x14ac:dyDescent="0.25">
      <c r="B11" s="32" t="str">
        <f>'Data Entry'!A11</f>
        <v>6. Cases Petitioned (Charge Filed)</v>
      </c>
      <c r="C11" s="33">
        <f>'Data Entry'!C11</f>
        <v>31</v>
      </c>
      <c r="D11" s="34">
        <f>IF(((AND(C68&gt;0,C11&gt;0))),(C11/(C68)),0)</f>
        <v>73.80952380952381</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31</v>
      </c>
      <c r="Q11" s="42">
        <f>(C$68*L68)-C11</f>
        <v>11</v>
      </c>
      <c r="R11" s="42">
        <f t="shared" si="5"/>
        <v>42</v>
      </c>
      <c r="S11" s="30">
        <f t="shared" si="6"/>
        <v>0</v>
      </c>
      <c r="T11" s="30">
        <f t="shared" si="7"/>
        <v>0</v>
      </c>
      <c r="U11" s="31" t="str">
        <f t="shared" si="8"/>
        <v>- -</v>
      </c>
    </row>
    <row r="12" spans="2:21" ht="18" customHeight="1" x14ac:dyDescent="0.25">
      <c r="B12" s="32" t="str">
        <f>'Data Entry'!A12</f>
        <v>7. Cases Resulting in Delinquent Findings</v>
      </c>
      <c r="C12" s="33">
        <f>'Data Entry'!C12</f>
        <v>17</v>
      </c>
      <c r="D12" s="34">
        <f>IF(((AND(C69&gt;0,C12&gt;0))),(C12/(C69)),0)</f>
        <v>54.838709677419352</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14</v>
      </c>
      <c r="R12" s="42">
        <f t="shared" si="5"/>
        <v>31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17.647058823529409</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14</v>
      </c>
      <c r="R14" s="42">
        <f t="shared" si="5"/>
        <v>17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5.0659999999999998</v>
      </c>
      <c r="D42" s="56">
        <f>E6/1000</f>
        <v>0.28799999999999998</v>
      </c>
      <c r="E42" s="56">
        <f>MAX(C42:D42)</f>
        <v>5.0659999999999998</v>
      </c>
      <c r="G42" s="1" t="str">
        <f>B42</f>
        <v>per 1000 youth</v>
      </c>
      <c r="L42" s="57">
        <v>1000</v>
      </c>
      <c r="M42" s="57"/>
      <c r="R42" s="49"/>
    </row>
    <row r="43" spans="2:18" ht="15" hidden="1" customHeight="1" x14ac:dyDescent="0.25">
      <c r="B43" s="49" t="s">
        <v>87</v>
      </c>
      <c r="C43" s="56">
        <f>C7/100</f>
        <v>0.1</v>
      </c>
      <c r="D43" s="56">
        <f>E7/100</f>
        <v>0</v>
      </c>
      <c r="E43" s="56">
        <f>MAX(C43:D43,0)</f>
        <v>0.1</v>
      </c>
      <c r="G43" s="1" t="str">
        <f>B43</f>
        <v>per 100 arrests</v>
      </c>
      <c r="L43" s="57">
        <v>100</v>
      </c>
      <c r="M43" s="57"/>
      <c r="R43" s="49"/>
    </row>
    <row r="44" spans="2:18" ht="15" hidden="1" customHeight="1" x14ac:dyDescent="0.25">
      <c r="B44" s="49" t="s">
        <v>88</v>
      </c>
      <c r="C44" s="56">
        <f>C8/100</f>
        <v>0.42</v>
      </c>
      <c r="D44" s="56">
        <f>E8/100</f>
        <v>0</v>
      </c>
      <c r="E44" s="56">
        <f>MAX(C44:D44,0)</f>
        <v>0.42</v>
      </c>
      <c r="G44" s="1" t="str">
        <f>B44</f>
        <v>per 100 referrals</v>
      </c>
      <c r="L44" s="57">
        <v>100</v>
      </c>
      <c r="M44" s="57"/>
      <c r="R44" s="49"/>
    </row>
    <row r="45" spans="2:18" ht="15" hidden="1" customHeight="1" x14ac:dyDescent="0.25">
      <c r="B45" s="49" t="s">
        <v>89</v>
      </c>
      <c r="C45" s="49">
        <f>C11/100</f>
        <v>0.31</v>
      </c>
      <c r="D45" s="49">
        <f>E11/100</f>
        <v>0</v>
      </c>
      <c r="E45" s="56">
        <f>MAX(C45:D45,0)</f>
        <v>0.31</v>
      </c>
      <c r="G45" s="1" t="str">
        <f>B45</f>
        <v>per 100 youth petitioned</v>
      </c>
      <c r="L45" s="57">
        <v>100</v>
      </c>
      <c r="M45" s="57"/>
      <c r="R45" s="49"/>
    </row>
    <row r="46" spans="2:18" ht="15" hidden="1" customHeight="1" x14ac:dyDescent="0.25">
      <c r="B46" s="49" t="s">
        <v>90</v>
      </c>
      <c r="C46" s="49">
        <f>C12/100</f>
        <v>0.17</v>
      </c>
      <c r="D46" s="49">
        <f>E12/100</f>
        <v>0</v>
      </c>
      <c r="E46" s="56">
        <f>MAX(C46:D46)</f>
        <v>0.17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5.0659999999999998</v>
      </c>
      <c r="D48" s="56">
        <f>D42</f>
        <v>0.28799999999999998</v>
      </c>
      <c r="E48" s="56">
        <f>MAX(C48:D48)</f>
        <v>5.0659999999999998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v>
      </c>
      <c r="D49" s="49">
        <f t="shared" si="9"/>
        <v>0</v>
      </c>
      <c r="E49" s="49">
        <f>MAX(C49:D49)</f>
        <v>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0.42</v>
      </c>
      <c r="D50" s="49">
        <f t="shared" si="9"/>
        <v>0</v>
      </c>
      <c r="E50" s="49">
        <f>MAX(C50:D50)</f>
        <v>0.42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0.31</v>
      </c>
      <c r="D51" s="49">
        <f>IF(($E45&gt;0),D45,D44)</f>
        <v>0</v>
      </c>
      <c r="E51" s="49">
        <f>MAX(C51:D51)</f>
        <v>0.31</v>
      </c>
      <c r="G51" s="1" t="str">
        <f>G45</f>
        <v>per 100 youth petitioned</v>
      </c>
      <c r="L51" s="58">
        <f>IF(($E45&gt;0),L45,L44)</f>
        <v>100</v>
      </c>
      <c r="M51" s="58"/>
    </row>
    <row r="52" spans="2:18" ht="15" hidden="1" customHeight="1" x14ac:dyDescent="0.25">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5.0659999999999998</v>
      </c>
      <c r="D54" s="56">
        <f>D48</f>
        <v>0.28799999999999998</v>
      </c>
      <c r="E54" s="56">
        <f>MAX(C54:D54)</f>
        <v>5.0659999999999998</v>
      </c>
      <c r="G54" s="1" t="str">
        <f>G48</f>
        <v>per 1000 youth</v>
      </c>
      <c r="L54" s="58">
        <f>L48</f>
        <v>1000</v>
      </c>
      <c r="M54" s="58"/>
    </row>
    <row r="55" spans="2:18" ht="15" hidden="1" customHeight="1" x14ac:dyDescent="0.25">
      <c r="B55" s="49" t="str">
        <f t="shared" ref="B55:D56" si="10">IF(($E49&gt;0),B49,B48)</f>
        <v>per 100 arrests</v>
      </c>
      <c r="C55" s="49">
        <f t="shared" si="10"/>
        <v>0.1</v>
      </c>
      <c r="D55" s="49">
        <f t="shared" si="10"/>
        <v>0</v>
      </c>
      <c r="E55" s="49">
        <f>MAX(C55:D55)</f>
        <v>0.1</v>
      </c>
      <c r="G55" s="1" t="str">
        <f>G49</f>
        <v>per 100 arrests</v>
      </c>
      <c r="L55" s="58">
        <f>IF(($E49&gt;0),L49,L48)</f>
        <v>100</v>
      </c>
      <c r="M55" s="58"/>
    </row>
    <row r="56" spans="2:18" ht="15" hidden="1" customHeight="1" x14ac:dyDescent="0.25">
      <c r="B56" s="49" t="str">
        <f t="shared" si="10"/>
        <v>per 100 referrals</v>
      </c>
      <c r="C56" s="49">
        <f t="shared" si="10"/>
        <v>0.42</v>
      </c>
      <c r="D56" s="49">
        <f t="shared" si="10"/>
        <v>0</v>
      </c>
      <c r="E56" s="49">
        <f>MAX(C56:D56)</f>
        <v>0.42</v>
      </c>
      <c r="G56" s="1" t="str">
        <f>G50</f>
        <v>per 100 referrals</v>
      </c>
      <c r="L56" s="58">
        <f>IF(($E50&gt;0),L50,L49)</f>
        <v>100</v>
      </c>
      <c r="M56" s="58"/>
    </row>
    <row r="57" spans="2:18" ht="15" hidden="1" customHeight="1" x14ac:dyDescent="0.25">
      <c r="B57" s="49" t="str">
        <f>IF(($E51&gt;0),B51,B49)</f>
        <v>per 100 youth petitioned</v>
      </c>
      <c r="C57" s="49">
        <f>IF(($E51&gt;0),C51,C50)</f>
        <v>0.31</v>
      </c>
      <c r="D57" s="49">
        <f>IF(($E51&gt;0),D51,D50)</f>
        <v>0</v>
      </c>
      <c r="E57" s="49">
        <f>MAX(C57:D57)</f>
        <v>0.31</v>
      </c>
      <c r="G57" s="1" t="str">
        <f>G51</f>
        <v>per 100 youth petitioned</v>
      </c>
      <c r="L57" s="58">
        <f>IF(($E51&gt;0),L51,L50)</f>
        <v>100</v>
      </c>
      <c r="M57" s="58"/>
    </row>
    <row r="58" spans="2:18" ht="15" hidden="1" customHeight="1" x14ac:dyDescent="0.25">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5.0659999999999998</v>
      </c>
      <c r="D60" s="56">
        <f>D54</f>
        <v>0.28799999999999998</v>
      </c>
      <c r="E60" s="56">
        <f>MAX(C60:D60)</f>
        <v>5.0659999999999998</v>
      </c>
      <c r="G60" s="1" t="str">
        <f>G54</f>
        <v>per 1000 youth</v>
      </c>
      <c r="L60" s="58">
        <f>L54</f>
        <v>1000</v>
      </c>
      <c r="M60" s="58"/>
    </row>
    <row r="61" spans="2:18" ht="15" hidden="1" customHeight="1" x14ac:dyDescent="0.25">
      <c r="B61" s="49" t="str">
        <f t="shared" ref="B61:D62" si="11">IF(($E55&gt;0),B55,B54)</f>
        <v>per 100 arrests</v>
      </c>
      <c r="C61" s="49">
        <f t="shared" si="11"/>
        <v>0.1</v>
      </c>
      <c r="D61" s="49">
        <f t="shared" si="11"/>
        <v>0</v>
      </c>
      <c r="E61" s="49">
        <f>MAX(C61:D61)</f>
        <v>0.1</v>
      </c>
      <c r="G61" s="1" t="str">
        <f>G55</f>
        <v>per 100 arrests</v>
      </c>
      <c r="L61" s="58">
        <f>IF(($E55&gt;0),L55,L54)</f>
        <v>100</v>
      </c>
      <c r="M61" s="58"/>
    </row>
    <row r="62" spans="2:18" ht="15" hidden="1" customHeight="1" x14ac:dyDescent="0.25">
      <c r="B62" s="49" t="str">
        <f t="shared" si="11"/>
        <v>per 100 referrals</v>
      </c>
      <c r="C62" s="49">
        <f t="shared" si="11"/>
        <v>0.42</v>
      </c>
      <c r="D62" s="49">
        <f t="shared" si="11"/>
        <v>0</v>
      </c>
      <c r="E62" s="49">
        <f>MAX(C62:D62)</f>
        <v>0.42</v>
      </c>
      <c r="G62" s="1" t="str">
        <f>G56</f>
        <v>per 100 referrals</v>
      </c>
      <c r="L62" s="58">
        <f>IF(($E56&gt;0),L56,L55)</f>
        <v>100</v>
      </c>
      <c r="M62" s="58"/>
    </row>
    <row r="63" spans="2:18" ht="15" hidden="1" customHeight="1" x14ac:dyDescent="0.25">
      <c r="B63" s="49" t="str">
        <f>IF(($E57&gt;0),B57,B55)</f>
        <v>per 100 youth petitioned</v>
      </c>
      <c r="C63" s="49">
        <f>IF(($E57&gt;0),C57,C56)</f>
        <v>0.31</v>
      </c>
      <c r="D63" s="49">
        <f>IF(($E57&gt;0),D57,D56)</f>
        <v>0</v>
      </c>
      <c r="E63" s="49">
        <f>MAX(C63:D63)</f>
        <v>0.31</v>
      </c>
      <c r="G63" s="1" t="str">
        <f>G57</f>
        <v>per 100 youth petitioned</v>
      </c>
      <c r="L63" s="58">
        <f>IF(($E57&gt;0),L57,L56)</f>
        <v>100</v>
      </c>
      <c r="M63" s="58"/>
    </row>
    <row r="64" spans="2:18" ht="15" hidden="1" customHeight="1" x14ac:dyDescent="0.25">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5.0659999999999998</v>
      </c>
      <c r="D66" s="56">
        <f>D60</f>
        <v>0.28799999999999998</v>
      </c>
      <c r="E66" s="56">
        <f>MAX(C66:D66)</f>
        <v>5.0659999999999998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0.1</v>
      </c>
      <c r="D67" s="49">
        <f t="shared" si="12"/>
        <v>0</v>
      </c>
      <c r="E67" s="49">
        <f>MAX(C67:D67)</f>
        <v>0.1</v>
      </c>
      <c r="G67" s="1" t="str">
        <f>G61</f>
        <v>per 100 arrests</v>
      </c>
      <c r="L67" s="58">
        <f>IF(($E61&gt;0),L61,L60)</f>
        <v>100</v>
      </c>
      <c r="M67" s="58">
        <f>IF((B67=G67),1,2)</f>
        <v>1</v>
      </c>
    </row>
    <row r="68" spans="2:13" ht="15" hidden="1" customHeight="1" x14ac:dyDescent="0.25">
      <c r="B68" s="49" t="str">
        <f t="shared" si="12"/>
        <v>per 100 referrals</v>
      </c>
      <c r="C68" s="49">
        <f t="shared" si="12"/>
        <v>0.42</v>
      </c>
      <c r="D68" s="49">
        <f t="shared" si="12"/>
        <v>0</v>
      </c>
      <c r="E68" s="49">
        <f>MAX(C68:D68)</f>
        <v>0.42</v>
      </c>
      <c r="G68" s="1" t="str">
        <f>G62</f>
        <v>per 100 referrals</v>
      </c>
      <c r="L68" s="58">
        <f>IF(($E62&gt;0),L62,L61)</f>
        <v>100</v>
      </c>
      <c r="M68" s="58">
        <f>IF((B68=G68),1,2)</f>
        <v>1</v>
      </c>
    </row>
    <row r="69" spans="2:13" ht="15" hidden="1" customHeight="1" x14ac:dyDescent="0.25">
      <c r="B69" s="49" t="str">
        <f>IF(($E63&gt;0),B63,B61)</f>
        <v>per 100 youth petitioned</v>
      </c>
      <c r="C69" s="49">
        <f>IF(($E63&gt;0),C63,C62)</f>
        <v>0.31</v>
      </c>
      <c r="D69" s="49">
        <f>IF(($E63&gt;0),D63,D62)</f>
        <v>0</v>
      </c>
      <c r="E69" s="49">
        <f>MAX(C69:D69)</f>
        <v>0.31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Barry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5066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10</v>
      </c>
      <c r="D7" s="34">
        <f>IF((AND(C66&gt;0,C7&gt;0)),(C7/C66),0)</f>
        <v>1.9739439399921044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10</v>
      </c>
      <c r="Q7" s="42">
        <f>C6-C7</f>
        <v>5056</v>
      </c>
      <c r="R7" s="42">
        <f t="shared" ref="R7:R15" si="5">SUM(N7:Q7)</f>
        <v>5066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42</v>
      </c>
      <c r="D8" s="34">
        <f>IF((AND(C67&gt;0,C8&gt;0)),(C8/C67),0)</f>
        <v>420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42</v>
      </c>
      <c r="Q8" s="42">
        <f>(C$67*L67)-C8</f>
        <v>-32</v>
      </c>
      <c r="R8" s="42">
        <f t="shared" si="5"/>
        <v>10.049999999999997</v>
      </c>
      <c r="S8" s="30">
        <f t="shared" si="6"/>
        <v>44.320499999999988</v>
      </c>
      <c r="T8" s="30">
        <f t="shared" si="7"/>
        <v>-670.94999999999993</v>
      </c>
      <c r="U8" s="31">
        <f t="shared" si="8"/>
        <v>-6.6056338028169001E-2</v>
      </c>
    </row>
    <row r="9" spans="2:21" ht="18" customHeight="1" x14ac:dyDescent="0.25">
      <c r="B9" s="32" t="str">
        <f>'Data Entry'!A9</f>
        <v xml:space="preserve">4. Cases Diverted </v>
      </c>
      <c r="C9" s="33">
        <f>'Data Entry'!C9</f>
        <v>4</v>
      </c>
      <c r="D9" s="34">
        <f>IF((AND(C68&gt;0,C9&gt;0)),((C9/C68)),0)</f>
        <v>9.5238095238095237</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38</v>
      </c>
      <c r="R9" s="42">
        <f t="shared" si="5"/>
        <v>42</v>
      </c>
      <c r="S9" s="30">
        <f t="shared" si="6"/>
        <v>0</v>
      </c>
      <c r="T9" s="30">
        <f t="shared" si="7"/>
        <v>0</v>
      </c>
      <c r="U9" s="31" t="str">
        <f t="shared" si="8"/>
        <v>- -</v>
      </c>
    </row>
    <row r="10" spans="2:21" ht="18" customHeight="1" x14ac:dyDescent="0.25">
      <c r="B10" s="32" t="str">
        <f>'Data Entry'!A10</f>
        <v>5. Cases Involving Secure Detention</v>
      </c>
      <c r="C10" s="33">
        <f>'Data Entry'!C10</f>
        <v>2</v>
      </c>
      <c r="D10" s="34">
        <f>IF(((AND(C68&gt;0,C10&gt;0))),(C10/(C68)),0)</f>
        <v>4.7619047619047619</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40</v>
      </c>
      <c r="R10" s="42">
        <f t="shared" si="5"/>
        <v>42</v>
      </c>
      <c r="S10" s="30">
        <f t="shared" si="6"/>
        <v>0</v>
      </c>
      <c r="T10" s="30">
        <f t="shared" si="7"/>
        <v>0</v>
      </c>
      <c r="U10" s="31" t="str">
        <f t="shared" si="8"/>
        <v>- -</v>
      </c>
    </row>
    <row r="11" spans="2:21" ht="18" customHeight="1" x14ac:dyDescent="0.25">
      <c r="B11" s="32" t="str">
        <f>'Data Entry'!A11</f>
        <v>6. Cases Petitioned (Charge Filed)</v>
      </c>
      <c r="C11" s="33">
        <f>'Data Entry'!C11</f>
        <v>31</v>
      </c>
      <c r="D11" s="34">
        <f>IF(((AND(C68&gt;0,C11&gt;0))),(C11/(C68)),0)</f>
        <v>73.80952380952381</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31</v>
      </c>
      <c r="Q11" s="42">
        <f>(C$68*L68)-C11</f>
        <v>11</v>
      </c>
      <c r="R11" s="42">
        <f t="shared" si="5"/>
        <v>42</v>
      </c>
      <c r="S11" s="30">
        <f t="shared" si="6"/>
        <v>0</v>
      </c>
      <c r="T11" s="30">
        <f t="shared" si="7"/>
        <v>0</v>
      </c>
      <c r="U11" s="31" t="str">
        <f t="shared" si="8"/>
        <v>- -</v>
      </c>
    </row>
    <row r="12" spans="2:21" ht="18" customHeight="1" x14ac:dyDescent="0.25">
      <c r="B12" s="32" t="str">
        <f>'Data Entry'!A12</f>
        <v>7. Cases Resulting in Delinquent Findings</v>
      </c>
      <c r="C12" s="33">
        <f>'Data Entry'!C12</f>
        <v>17</v>
      </c>
      <c r="D12" s="34">
        <f>IF(((AND(C69&gt;0,C12&gt;0))),(C12/(C69)),0)</f>
        <v>54.838709677419352</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14</v>
      </c>
      <c r="R12" s="42">
        <f t="shared" si="5"/>
        <v>31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17.647058823529409</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14</v>
      </c>
      <c r="R14" s="42">
        <f t="shared" si="5"/>
        <v>17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5.0659999999999998</v>
      </c>
      <c r="D42" s="56">
        <f>E6/1000</f>
        <v>0</v>
      </c>
      <c r="E42" s="56">
        <f>MAX(C42:D42)</f>
        <v>5.0659999999999998</v>
      </c>
      <c r="G42" s="1" t="str">
        <f>B42</f>
        <v>per 1000 youth</v>
      </c>
      <c r="L42" s="57">
        <v>1000</v>
      </c>
      <c r="M42" s="57"/>
      <c r="R42" s="49"/>
    </row>
    <row r="43" spans="2:18" ht="15" hidden="1" customHeight="1" x14ac:dyDescent="0.25">
      <c r="B43" s="49" t="s">
        <v>87</v>
      </c>
      <c r="C43" s="56">
        <f>C7/100</f>
        <v>0.1</v>
      </c>
      <c r="D43" s="56">
        <f>E7/100</f>
        <v>0</v>
      </c>
      <c r="E43" s="56">
        <f>MAX(C43:D43,0)</f>
        <v>0.1</v>
      </c>
      <c r="G43" s="1" t="str">
        <f>B43</f>
        <v>per 100 arrests</v>
      </c>
      <c r="L43" s="57">
        <v>100</v>
      </c>
      <c r="M43" s="57"/>
      <c r="R43" s="49"/>
    </row>
    <row r="44" spans="2:18" ht="15" hidden="1" customHeight="1" x14ac:dyDescent="0.25">
      <c r="B44" s="49" t="s">
        <v>88</v>
      </c>
      <c r="C44" s="56">
        <f>C8/100</f>
        <v>0.42</v>
      </c>
      <c r="D44" s="56">
        <f>E8/100</f>
        <v>0</v>
      </c>
      <c r="E44" s="56">
        <f>MAX(C44:D44,0)</f>
        <v>0.42</v>
      </c>
      <c r="G44" s="1" t="str">
        <f>B44</f>
        <v>per 100 referrals</v>
      </c>
      <c r="L44" s="57">
        <v>100</v>
      </c>
      <c r="M44" s="57"/>
      <c r="R44" s="49"/>
    </row>
    <row r="45" spans="2:18" ht="15" hidden="1" customHeight="1" x14ac:dyDescent="0.25">
      <c r="B45" s="49" t="s">
        <v>89</v>
      </c>
      <c r="C45" s="49">
        <f>C11/100</f>
        <v>0.31</v>
      </c>
      <c r="D45" s="49">
        <f>E11/100</f>
        <v>0</v>
      </c>
      <c r="E45" s="56">
        <f>MAX(C45:D45,0)</f>
        <v>0.31</v>
      </c>
      <c r="G45" s="1" t="str">
        <f>B45</f>
        <v>per 100 youth petitioned</v>
      </c>
      <c r="L45" s="57">
        <v>100</v>
      </c>
      <c r="M45" s="57"/>
      <c r="R45" s="49"/>
    </row>
    <row r="46" spans="2:18" ht="15" hidden="1" customHeight="1" x14ac:dyDescent="0.25">
      <c r="B46" s="49" t="s">
        <v>90</v>
      </c>
      <c r="C46" s="49">
        <f>C12/100</f>
        <v>0.17</v>
      </c>
      <c r="D46" s="49">
        <f>E12/100</f>
        <v>0</v>
      </c>
      <c r="E46" s="56">
        <f>MAX(C46:D46)</f>
        <v>0.17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5.0659999999999998</v>
      </c>
      <c r="D48" s="56">
        <f>D42</f>
        <v>0</v>
      </c>
      <c r="E48" s="56">
        <f>MAX(C48:D48)</f>
        <v>5.0659999999999998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v>
      </c>
      <c r="D49" s="49">
        <f t="shared" si="9"/>
        <v>0</v>
      </c>
      <c r="E49" s="49">
        <f>MAX(C49:D49)</f>
        <v>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0.42</v>
      </c>
      <c r="D50" s="49">
        <f t="shared" si="9"/>
        <v>0</v>
      </c>
      <c r="E50" s="49">
        <f>MAX(C50:D50)</f>
        <v>0.42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0.31</v>
      </c>
      <c r="D51" s="49">
        <f>IF(($E45&gt;0),D45,D44)</f>
        <v>0</v>
      </c>
      <c r="E51" s="49">
        <f>MAX(C51:D51)</f>
        <v>0.31</v>
      </c>
      <c r="G51" s="1" t="str">
        <f>G45</f>
        <v>per 100 youth petitioned</v>
      </c>
      <c r="L51" s="58">
        <f>IF(($E45&gt;0),L45,L44)</f>
        <v>100</v>
      </c>
      <c r="M51" s="58"/>
    </row>
    <row r="52" spans="2:18" ht="15" hidden="1" customHeight="1" x14ac:dyDescent="0.25">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5.0659999999999998</v>
      </c>
      <c r="D54" s="56">
        <f>D48</f>
        <v>0</v>
      </c>
      <c r="E54" s="56">
        <f>MAX(C54:D54)</f>
        <v>5.0659999999999998</v>
      </c>
      <c r="G54" s="1" t="str">
        <f>G48</f>
        <v>per 1000 youth</v>
      </c>
      <c r="L54" s="58">
        <f>L48</f>
        <v>1000</v>
      </c>
      <c r="M54" s="58"/>
    </row>
    <row r="55" spans="2:18" ht="15" hidden="1" customHeight="1" x14ac:dyDescent="0.25">
      <c r="B55" s="49" t="str">
        <f t="shared" ref="B55:D56" si="10">IF(($E49&gt;0),B49,B48)</f>
        <v>per 100 arrests</v>
      </c>
      <c r="C55" s="49">
        <f t="shared" si="10"/>
        <v>0.1</v>
      </c>
      <c r="D55" s="49">
        <f t="shared" si="10"/>
        <v>0</v>
      </c>
      <c r="E55" s="49">
        <f>MAX(C55:D55)</f>
        <v>0.1</v>
      </c>
      <c r="G55" s="1" t="str">
        <f>G49</f>
        <v>per 100 arrests</v>
      </c>
      <c r="L55" s="58">
        <f>IF(($E49&gt;0),L49,L48)</f>
        <v>100</v>
      </c>
      <c r="M55" s="58"/>
    </row>
    <row r="56" spans="2:18" ht="15" hidden="1" customHeight="1" x14ac:dyDescent="0.25">
      <c r="B56" s="49" t="str">
        <f t="shared" si="10"/>
        <v>per 100 referrals</v>
      </c>
      <c r="C56" s="49">
        <f t="shared" si="10"/>
        <v>0.42</v>
      </c>
      <c r="D56" s="49">
        <f t="shared" si="10"/>
        <v>0</v>
      </c>
      <c r="E56" s="49">
        <f>MAX(C56:D56)</f>
        <v>0.42</v>
      </c>
      <c r="G56" s="1" t="str">
        <f>G50</f>
        <v>per 100 referrals</v>
      </c>
      <c r="L56" s="58">
        <f>IF(($E50&gt;0),L50,L49)</f>
        <v>100</v>
      </c>
      <c r="M56" s="58"/>
    </row>
    <row r="57" spans="2:18" ht="15" hidden="1" customHeight="1" x14ac:dyDescent="0.25">
      <c r="B57" s="49" t="str">
        <f>IF(($E51&gt;0),B51,B49)</f>
        <v>per 100 youth petitioned</v>
      </c>
      <c r="C57" s="49">
        <f>IF(($E51&gt;0),C51,C50)</f>
        <v>0.31</v>
      </c>
      <c r="D57" s="49">
        <f>IF(($E51&gt;0),D51,D50)</f>
        <v>0</v>
      </c>
      <c r="E57" s="49">
        <f>MAX(C57:D57)</f>
        <v>0.31</v>
      </c>
      <c r="G57" s="1" t="str">
        <f>G51</f>
        <v>per 100 youth petitioned</v>
      </c>
      <c r="L57" s="58">
        <f>IF(($E51&gt;0),L51,L50)</f>
        <v>100</v>
      </c>
      <c r="M57" s="58"/>
    </row>
    <row r="58" spans="2:18" ht="15" hidden="1" customHeight="1" x14ac:dyDescent="0.25">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5.0659999999999998</v>
      </c>
      <c r="D60" s="56">
        <f>D54</f>
        <v>0</v>
      </c>
      <c r="E60" s="56">
        <f>MAX(C60:D60)</f>
        <v>5.0659999999999998</v>
      </c>
      <c r="G60" s="1" t="str">
        <f>G54</f>
        <v>per 1000 youth</v>
      </c>
      <c r="L60" s="58">
        <f>L54</f>
        <v>1000</v>
      </c>
      <c r="M60" s="58"/>
    </row>
    <row r="61" spans="2:18" ht="15" hidden="1" customHeight="1" x14ac:dyDescent="0.25">
      <c r="B61" s="49" t="str">
        <f t="shared" ref="B61:D62" si="11">IF(($E55&gt;0),B55,B54)</f>
        <v>per 100 arrests</v>
      </c>
      <c r="C61" s="49">
        <f t="shared" si="11"/>
        <v>0.1</v>
      </c>
      <c r="D61" s="49">
        <f t="shared" si="11"/>
        <v>0</v>
      </c>
      <c r="E61" s="49">
        <f>MAX(C61:D61)</f>
        <v>0.1</v>
      </c>
      <c r="G61" s="1" t="str">
        <f>G55</f>
        <v>per 100 arrests</v>
      </c>
      <c r="L61" s="58">
        <f>IF(($E55&gt;0),L55,L54)</f>
        <v>100</v>
      </c>
      <c r="M61" s="58"/>
    </row>
    <row r="62" spans="2:18" ht="15" hidden="1" customHeight="1" x14ac:dyDescent="0.25">
      <c r="B62" s="49" t="str">
        <f t="shared" si="11"/>
        <v>per 100 referrals</v>
      </c>
      <c r="C62" s="49">
        <f t="shared" si="11"/>
        <v>0.42</v>
      </c>
      <c r="D62" s="49">
        <f t="shared" si="11"/>
        <v>0</v>
      </c>
      <c r="E62" s="49">
        <f>MAX(C62:D62)</f>
        <v>0.42</v>
      </c>
      <c r="G62" s="1" t="str">
        <f>G56</f>
        <v>per 100 referrals</v>
      </c>
      <c r="L62" s="58">
        <f>IF(($E56&gt;0),L56,L55)</f>
        <v>100</v>
      </c>
      <c r="M62" s="58"/>
    </row>
    <row r="63" spans="2:18" ht="15" hidden="1" customHeight="1" x14ac:dyDescent="0.25">
      <c r="B63" s="49" t="str">
        <f>IF(($E57&gt;0),B57,B55)</f>
        <v>per 100 youth petitioned</v>
      </c>
      <c r="C63" s="49">
        <f>IF(($E57&gt;0),C57,C56)</f>
        <v>0.31</v>
      </c>
      <c r="D63" s="49">
        <f>IF(($E57&gt;0),D57,D56)</f>
        <v>0</v>
      </c>
      <c r="E63" s="49">
        <f>MAX(C63:D63)</f>
        <v>0.31</v>
      </c>
      <c r="G63" s="1" t="str">
        <f>G57</f>
        <v>per 100 youth petitioned</v>
      </c>
      <c r="L63" s="58">
        <f>IF(($E57&gt;0),L57,L56)</f>
        <v>100</v>
      </c>
      <c r="M63" s="58"/>
    </row>
    <row r="64" spans="2:18" ht="15" hidden="1" customHeight="1" x14ac:dyDescent="0.25">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5.0659999999999998</v>
      </c>
      <c r="D66" s="56">
        <f>D60</f>
        <v>0</v>
      </c>
      <c r="E66" s="56">
        <f>MAX(C66:D66)</f>
        <v>5.0659999999999998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0.1</v>
      </c>
      <c r="D67" s="49">
        <f t="shared" si="12"/>
        <v>0</v>
      </c>
      <c r="E67" s="49">
        <f>MAX(C67:D67)</f>
        <v>0.1</v>
      </c>
      <c r="G67" s="1" t="str">
        <f>G61</f>
        <v>per 100 arrests</v>
      </c>
      <c r="L67" s="58">
        <f>IF(($E61&gt;0),L61,L60)</f>
        <v>100</v>
      </c>
      <c r="M67" s="58">
        <f>IF((B67=G67),1,2)</f>
        <v>1</v>
      </c>
    </row>
    <row r="68" spans="2:13" ht="15" hidden="1" customHeight="1" x14ac:dyDescent="0.25">
      <c r="B68" s="49" t="str">
        <f t="shared" si="12"/>
        <v>per 100 referrals</v>
      </c>
      <c r="C68" s="49">
        <f t="shared" si="12"/>
        <v>0.42</v>
      </c>
      <c r="D68" s="49">
        <f t="shared" si="12"/>
        <v>0</v>
      </c>
      <c r="E68" s="49">
        <f>MAX(C68:D68)</f>
        <v>0.42</v>
      </c>
      <c r="G68" s="1" t="str">
        <f>G62</f>
        <v>per 100 referrals</v>
      </c>
      <c r="L68" s="58">
        <f>IF(($E62&gt;0),L62,L61)</f>
        <v>100</v>
      </c>
      <c r="M68" s="58">
        <f>IF((B68=G68),1,2)</f>
        <v>1</v>
      </c>
    </row>
    <row r="69" spans="2:13" ht="15" hidden="1" customHeight="1" x14ac:dyDescent="0.25">
      <c r="B69" s="49" t="str">
        <f>IF(($E63&gt;0),B63,B61)</f>
        <v>per 100 youth petitioned</v>
      </c>
      <c r="C69" s="49">
        <f>IF(($E63&gt;0),C63,C62)</f>
        <v>0.31</v>
      </c>
      <c r="D69" s="49">
        <f>IF(($E63&gt;0),D63,D62)</f>
        <v>0</v>
      </c>
      <c r="E69" s="49">
        <f>MAX(C69:D69)</f>
        <v>0.31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Barry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5066</v>
      </c>
      <c r="D6" s="34"/>
      <c r="E6" s="33">
        <f>'Data Entry'!H6</f>
        <v>31</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10</v>
      </c>
      <c r="D7" s="34">
        <f>IF((AND(C66&gt;0,C7&gt;0)),(C7/C66),0)</f>
        <v>1.9739439399921044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31</v>
      </c>
      <c r="P7" s="42">
        <f t="shared" ref="P7:P15" si="4">C7</f>
        <v>10</v>
      </c>
      <c r="Q7" s="42">
        <f>C6-C7</f>
        <v>5056</v>
      </c>
      <c r="R7" s="42">
        <f t="shared" ref="R7:R15" si="5">SUM(N7:Q7)</f>
        <v>5097</v>
      </c>
      <c r="S7" s="30">
        <f t="shared" ref="S7:S15" si="6">R7*((((N7*Q7)-(O7*P7))^2))</f>
        <v>489821700</v>
      </c>
      <c r="T7" s="30">
        <f t="shared" ref="T7:T15" si="7">(N7+O7)*(P7+Q7)*(N7+P7)*(O7+Q7)</f>
        <v>7988930020</v>
      </c>
      <c r="U7" s="31">
        <f t="shared" ref="U7:U15" si="8">IF((S7&gt;0),S7/T7,"- -")</f>
        <v>6.1312553592752589E-2</v>
      </c>
    </row>
    <row r="8" spans="2:21" ht="18" customHeight="1" x14ac:dyDescent="0.25">
      <c r="B8" s="32" t="str">
        <f>'Data Entry'!A8</f>
        <v>3. Refer to Juvenile Court</v>
      </c>
      <c r="C8" s="33">
        <f>'Data Entry'!C8</f>
        <v>42</v>
      </c>
      <c r="D8" s="34">
        <f>IF((AND(C67&gt;0,C8&gt;0)),(C8/C67),0)</f>
        <v>420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42</v>
      </c>
      <c r="Q8" s="42">
        <f>(C$67*L67)-C8</f>
        <v>-32</v>
      </c>
      <c r="R8" s="42">
        <f t="shared" si="5"/>
        <v>10.049999999999997</v>
      </c>
      <c r="S8" s="30">
        <f t="shared" si="6"/>
        <v>44.320499999999988</v>
      </c>
      <c r="T8" s="30">
        <f t="shared" si="7"/>
        <v>-670.94999999999993</v>
      </c>
      <c r="U8" s="31">
        <f t="shared" si="8"/>
        <v>-6.6056338028169001E-2</v>
      </c>
    </row>
    <row r="9" spans="2:21" ht="18" customHeight="1" x14ac:dyDescent="0.25">
      <c r="B9" s="32" t="str">
        <f>'Data Entry'!A9</f>
        <v xml:space="preserve">4. Cases Diverted </v>
      </c>
      <c r="C9" s="33">
        <f>'Data Entry'!C9</f>
        <v>4</v>
      </c>
      <c r="D9" s="34">
        <f>IF((AND(C68&gt;0,C9&gt;0)),((C9/C68)),0)</f>
        <v>9.5238095238095237</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38</v>
      </c>
      <c r="R9" s="42">
        <f t="shared" si="5"/>
        <v>42</v>
      </c>
      <c r="S9" s="30">
        <f t="shared" si="6"/>
        <v>0</v>
      </c>
      <c r="T9" s="30">
        <f t="shared" si="7"/>
        <v>0</v>
      </c>
      <c r="U9" s="31" t="str">
        <f t="shared" si="8"/>
        <v>- -</v>
      </c>
    </row>
    <row r="10" spans="2:21" ht="18" customHeight="1" x14ac:dyDescent="0.25">
      <c r="B10" s="32" t="str">
        <f>'Data Entry'!A10</f>
        <v>5. Cases Involving Secure Detention</v>
      </c>
      <c r="C10" s="33">
        <f>'Data Entry'!C10</f>
        <v>2</v>
      </c>
      <c r="D10" s="34">
        <f>IF(((AND(C68&gt;0,C10&gt;0))),(C10/(C68)),0)</f>
        <v>4.7619047619047619</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40</v>
      </c>
      <c r="R10" s="42">
        <f t="shared" si="5"/>
        <v>42</v>
      </c>
      <c r="S10" s="30">
        <f t="shared" si="6"/>
        <v>0</v>
      </c>
      <c r="T10" s="30">
        <f t="shared" si="7"/>
        <v>0</v>
      </c>
      <c r="U10" s="31" t="str">
        <f t="shared" si="8"/>
        <v>- -</v>
      </c>
    </row>
    <row r="11" spans="2:21" ht="18" customHeight="1" x14ac:dyDescent="0.25">
      <c r="B11" s="32" t="str">
        <f>'Data Entry'!A11</f>
        <v>6. Cases Petitioned (Charge Filed)</v>
      </c>
      <c r="C11" s="33">
        <f>'Data Entry'!C11</f>
        <v>31</v>
      </c>
      <c r="D11" s="34">
        <f>IF(((AND(C68&gt;0,C11&gt;0))),(C11/(C68)),0)</f>
        <v>73.80952380952381</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31</v>
      </c>
      <c r="Q11" s="42">
        <f>(C$68*L68)-C11</f>
        <v>11</v>
      </c>
      <c r="R11" s="42">
        <f t="shared" si="5"/>
        <v>42</v>
      </c>
      <c r="S11" s="30">
        <f t="shared" si="6"/>
        <v>0</v>
      </c>
      <c r="T11" s="30">
        <f t="shared" si="7"/>
        <v>0</v>
      </c>
      <c r="U11" s="31" t="str">
        <f t="shared" si="8"/>
        <v>- -</v>
      </c>
    </row>
    <row r="12" spans="2:21" ht="18" customHeight="1" x14ac:dyDescent="0.25">
      <c r="B12" s="32" t="str">
        <f>'Data Entry'!A12</f>
        <v>7. Cases Resulting in Delinquent Findings</v>
      </c>
      <c r="C12" s="33">
        <f>'Data Entry'!C12</f>
        <v>17</v>
      </c>
      <c r="D12" s="34">
        <f>IF(((AND(C69&gt;0,C12&gt;0))),(C12/(C69)),0)</f>
        <v>54.838709677419352</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14</v>
      </c>
      <c r="R12" s="42">
        <f t="shared" si="5"/>
        <v>31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17.647058823529409</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14</v>
      </c>
      <c r="R14" s="42">
        <f t="shared" si="5"/>
        <v>17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5.0659999999999998</v>
      </c>
      <c r="D42" s="56">
        <f>E6/1000</f>
        <v>3.1E-2</v>
      </c>
      <c r="E42" s="56">
        <f>MAX(C42:D42)</f>
        <v>5.0659999999999998</v>
      </c>
      <c r="G42" s="1" t="str">
        <f>B42</f>
        <v>per 1000 youth</v>
      </c>
      <c r="L42" s="57">
        <v>1000</v>
      </c>
      <c r="M42" s="57"/>
      <c r="R42" s="49"/>
    </row>
    <row r="43" spans="2:18" ht="15" hidden="1" customHeight="1" x14ac:dyDescent="0.25">
      <c r="B43" s="49" t="s">
        <v>87</v>
      </c>
      <c r="C43" s="56">
        <f>C7/100</f>
        <v>0.1</v>
      </c>
      <c r="D43" s="56">
        <f>E7/100</f>
        <v>0</v>
      </c>
      <c r="E43" s="56">
        <f>MAX(C43:D43,0)</f>
        <v>0.1</v>
      </c>
      <c r="G43" s="1" t="str">
        <f>B43</f>
        <v>per 100 arrests</v>
      </c>
      <c r="L43" s="57">
        <v>100</v>
      </c>
      <c r="M43" s="57"/>
      <c r="R43" s="49"/>
    </row>
    <row r="44" spans="2:18" ht="15" hidden="1" customHeight="1" x14ac:dyDescent="0.25">
      <c r="B44" s="49" t="s">
        <v>88</v>
      </c>
      <c r="C44" s="56">
        <f>C8/100</f>
        <v>0.42</v>
      </c>
      <c r="D44" s="56">
        <f>E8/100</f>
        <v>0</v>
      </c>
      <c r="E44" s="56">
        <f>MAX(C44:D44,0)</f>
        <v>0.42</v>
      </c>
      <c r="G44" s="1" t="str">
        <f>B44</f>
        <v>per 100 referrals</v>
      </c>
      <c r="L44" s="57">
        <v>100</v>
      </c>
      <c r="M44" s="57"/>
      <c r="R44" s="49"/>
    </row>
    <row r="45" spans="2:18" ht="15" hidden="1" customHeight="1" x14ac:dyDescent="0.25">
      <c r="B45" s="49" t="s">
        <v>89</v>
      </c>
      <c r="C45" s="49">
        <f>C11/100</f>
        <v>0.31</v>
      </c>
      <c r="D45" s="49">
        <f>E11/100</f>
        <v>0</v>
      </c>
      <c r="E45" s="56">
        <f>MAX(C45:D45,0)</f>
        <v>0.31</v>
      </c>
      <c r="G45" s="1" t="str">
        <f>B45</f>
        <v>per 100 youth petitioned</v>
      </c>
      <c r="L45" s="57">
        <v>100</v>
      </c>
      <c r="M45" s="57"/>
      <c r="R45" s="49"/>
    </row>
    <row r="46" spans="2:18" ht="15" hidden="1" customHeight="1" x14ac:dyDescent="0.25">
      <c r="B46" s="49" t="s">
        <v>90</v>
      </c>
      <c r="C46" s="49">
        <f>C12/100</f>
        <v>0.17</v>
      </c>
      <c r="D46" s="49">
        <f>E12/100</f>
        <v>0</v>
      </c>
      <c r="E46" s="56">
        <f>MAX(C46:D46)</f>
        <v>0.17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5.0659999999999998</v>
      </c>
      <c r="D48" s="56">
        <f>D42</f>
        <v>3.1E-2</v>
      </c>
      <c r="E48" s="56">
        <f>MAX(C48:D48)</f>
        <v>5.0659999999999998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v>
      </c>
      <c r="D49" s="49">
        <f t="shared" si="9"/>
        <v>0</v>
      </c>
      <c r="E49" s="49">
        <f>MAX(C49:D49)</f>
        <v>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0.42</v>
      </c>
      <c r="D50" s="49">
        <f t="shared" si="9"/>
        <v>0</v>
      </c>
      <c r="E50" s="49">
        <f>MAX(C50:D50)</f>
        <v>0.42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0.31</v>
      </c>
      <c r="D51" s="49">
        <f>IF(($E45&gt;0),D45,D44)</f>
        <v>0</v>
      </c>
      <c r="E51" s="49">
        <f>MAX(C51:D51)</f>
        <v>0.31</v>
      </c>
      <c r="G51" s="1" t="str">
        <f>G45</f>
        <v>per 100 youth petitioned</v>
      </c>
      <c r="L51" s="58">
        <f>IF(($E45&gt;0),L45,L44)</f>
        <v>100</v>
      </c>
      <c r="M51" s="58"/>
    </row>
    <row r="52" spans="2:18" ht="15" hidden="1" customHeight="1" x14ac:dyDescent="0.25">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5.0659999999999998</v>
      </c>
      <c r="D54" s="56">
        <f>D48</f>
        <v>3.1E-2</v>
      </c>
      <c r="E54" s="56">
        <f>MAX(C54:D54)</f>
        <v>5.0659999999999998</v>
      </c>
      <c r="G54" s="1" t="str">
        <f>G48</f>
        <v>per 1000 youth</v>
      </c>
      <c r="L54" s="58">
        <f>L48</f>
        <v>1000</v>
      </c>
      <c r="M54" s="58"/>
    </row>
    <row r="55" spans="2:18" ht="15" hidden="1" customHeight="1" x14ac:dyDescent="0.25">
      <c r="B55" s="49" t="str">
        <f t="shared" ref="B55:D56" si="10">IF(($E49&gt;0),B49,B48)</f>
        <v>per 100 arrests</v>
      </c>
      <c r="C55" s="49">
        <f t="shared" si="10"/>
        <v>0.1</v>
      </c>
      <c r="D55" s="49">
        <f t="shared" si="10"/>
        <v>0</v>
      </c>
      <c r="E55" s="49">
        <f>MAX(C55:D55)</f>
        <v>0.1</v>
      </c>
      <c r="G55" s="1" t="str">
        <f>G49</f>
        <v>per 100 arrests</v>
      </c>
      <c r="L55" s="58">
        <f>IF(($E49&gt;0),L49,L48)</f>
        <v>100</v>
      </c>
      <c r="M55" s="58"/>
    </row>
    <row r="56" spans="2:18" ht="15" hidden="1" customHeight="1" x14ac:dyDescent="0.25">
      <c r="B56" s="49" t="str">
        <f t="shared" si="10"/>
        <v>per 100 referrals</v>
      </c>
      <c r="C56" s="49">
        <f t="shared" si="10"/>
        <v>0.42</v>
      </c>
      <c r="D56" s="49">
        <f t="shared" si="10"/>
        <v>0</v>
      </c>
      <c r="E56" s="49">
        <f>MAX(C56:D56)</f>
        <v>0.42</v>
      </c>
      <c r="G56" s="1" t="str">
        <f>G50</f>
        <v>per 100 referrals</v>
      </c>
      <c r="L56" s="58">
        <f>IF(($E50&gt;0),L50,L49)</f>
        <v>100</v>
      </c>
      <c r="M56" s="58"/>
    </row>
    <row r="57" spans="2:18" ht="15" hidden="1" customHeight="1" x14ac:dyDescent="0.25">
      <c r="B57" s="49" t="str">
        <f>IF(($E51&gt;0),B51,B49)</f>
        <v>per 100 youth petitioned</v>
      </c>
      <c r="C57" s="49">
        <f>IF(($E51&gt;0),C51,C50)</f>
        <v>0.31</v>
      </c>
      <c r="D57" s="49">
        <f>IF(($E51&gt;0),D51,D50)</f>
        <v>0</v>
      </c>
      <c r="E57" s="49">
        <f>MAX(C57:D57)</f>
        <v>0.31</v>
      </c>
      <c r="G57" s="1" t="str">
        <f>G51</f>
        <v>per 100 youth petitioned</v>
      </c>
      <c r="L57" s="58">
        <f>IF(($E51&gt;0),L51,L50)</f>
        <v>100</v>
      </c>
      <c r="M57" s="58"/>
    </row>
    <row r="58" spans="2:18" ht="15" hidden="1" customHeight="1" x14ac:dyDescent="0.25">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5.0659999999999998</v>
      </c>
      <c r="D60" s="56">
        <f>D54</f>
        <v>3.1E-2</v>
      </c>
      <c r="E60" s="56">
        <f>MAX(C60:D60)</f>
        <v>5.0659999999999998</v>
      </c>
      <c r="G60" s="1" t="str">
        <f>G54</f>
        <v>per 1000 youth</v>
      </c>
      <c r="L60" s="58">
        <f>L54</f>
        <v>1000</v>
      </c>
      <c r="M60" s="58"/>
    </row>
    <row r="61" spans="2:18" ht="15" hidden="1" customHeight="1" x14ac:dyDescent="0.25">
      <c r="B61" s="49" t="str">
        <f t="shared" ref="B61:D62" si="11">IF(($E55&gt;0),B55,B54)</f>
        <v>per 100 arrests</v>
      </c>
      <c r="C61" s="49">
        <f t="shared" si="11"/>
        <v>0.1</v>
      </c>
      <c r="D61" s="49">
        <f t="shared" si="11"/>
        <v>0</v>
      </c>
      <c r="E61" s="49">
        <f>MAX(C61:D61)</f>
        <v>0.1</v>
      </c>
      <c r="G61" s="1" t="str">
        <f>G55</f>
        <v>per 100 arrests</v>
      </c>
      <c r="L61" s="58">
        <f>IF(($E55&gt;0),L55,L54)</f>
        <v>100</v>
      </c>
      <c r="M61" s="58"/>
    </row>
    <row r="62" spans="2:18" ht="15" hidden="1" customHeight="1" x14ac:dyDescent="0.25">
      <c r="B62" s="49" t="str">
        <f t="shared" si="11"/>
        <v>per 100 referrals</v>
      </c>
      <c r="C62" s="49">
        <f t="shared" si="11"/>
        <v>0.42</v>
      </c>
      <c r="D62" s="49">
        <f t="shared" si="11"/>
        <v>0</v>
      </c>
      <c r="E62" s="49">
        <f>MAX(C62:D62)</f>
        <v>0.42</v>
      </c>
      <c r="G62" s="1" t="str">
        <f>G56</f>
        <v>per 100 referrals</v>
      </c>
      <c r="L62" s="58">
        <f>IF(($E56&gt;0),L56,L55)</f>
        <v>100</v>
      </c>
      <c r="M62" s="58"/>
    </row>
    <row r="63" spans="2:18" ht="15" hidden="1" customHeight="1" x14ac:dyDescent="0.25">
      <c r="B63" s="49" t="str">
        <f>IF(($E57&gt;0),B57,B55)</f>
        <v>per 100 youth petitioned</v>
      </c>
      <c r="C63" s="49">
        <f>IF(($E57&gt;0),C57,C56)</f>
        <v>0.31</v>
      </c>
      <c r="D63" s="49">
        <f>IF(($E57&gt;0),D57,D56)</f>
        <v>0</v>
      </c>
      <c r="E63" s="49">
        <f>MAX(C63:D63)</f>
        <v>0.31</v>
      </c>
      <c r="G63" s="1" t="str">
        <f>G57</f>
        <v>per 100 youth petitioned</v>
      </c>
      <c r="L63" s="58">
        <f>IF(($E57&gt;0),L57,L56)</f>
        <v>100</v>
      </c>
      <c r="M63" s="58"/>
    </row>
    <row r="64" spans="2:18" ht="15" hidden="1" customHeight="1" x14ac:dyDescent="0.25">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5.0659999999999998</v>
      </c>
      <c r="D66" s="56">
        <f>D60</f>
        <v>3.1E-2</v>
      </c>
      <c r="E66" s="56">
        <f>MAX(C66:D66)</f>
        <v>5.0659999999999998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0.1</v>
      </c>
      <c r="D67" s="49">
        <f t="shared" si="12"/>
        <v>0</v>
      </c>
      <c r="E67" s="49">
        <f>MAX(C67:D67)</f>
        <v>0.1</v>
      </c>
      <c r="G67" s="1" t="str">
        <f>G61</f>
        <v>per 100 arrests</v>
      </c>
      <c r="L67" s="58">
        <f>IF(($E61&gt;0),L61,L60)</f>
        <v>100</v>
      </c>
      <c r="M67" s="58">
        <f>IF((B67=G67),1,2)</f>
        <v>1</v>
      </c>
    </row>
    <row r="68" spans="2:13" ht="15" hidden="1" customHeight="1" x14ac:dyDescent="0.25">
      <c r="B68" s="49" t="str">
        <f t="shared" si="12"/>
        <v>per 100 referrals</v>
      </c>
      <c r="C68" s="49">
        <f t="shared" si="12"/>
        <v>0.42</v>
      </c>
      <c r="D68" s="49">
        <f t="shared" si="12"/>
        <v>0</v>
      </c>
      <c r="E68" s="49">
        <f>MAX(C68:D68)</f>
        <v>0.42</v>
      </c>
      <c r="G68" s="1" t="str">
        <f>G62</f>
        <v>per 100 referrals</v>
      </c>
      <c r="L68" s="58">
        <f>IF(($E62&gt;0),L62,L61)</f>
        <v>100</v>
      </c>
      <c r="M68" s="58">
        <f>IF((B68=G68),1,2)</f>
        <v>1</v>
      </c>
    </row>
    <row r="69" spans="2:13" ht="15" hidden="1" customHeight="1" x14ac:dyDescent="0.25">
      <c r="B69" s="49" t="str">
        <f>IF(($E63&gt;0),B63,B61)</f>
        <v>per 100 youth petitioned</v>
      </c>
      <c r="C69" s="49">
        <f>IF(($E63&gt;0),C63,C62)</f>
        <v>0.31</v>
      </c>
      <c r="D69" s="49">
        <f>IF(($E63&gt;0),D63,D62)</f>
        <v>0</v>
      </c>
      <c r="E69" s="49">
        <f>MAX(C69:D69)</f>
        <v>0.31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U47JMPN4QEAR-1806752177-30153</_dlc_DocId>
    <_dlc_DocIdUrl xmlns="ac3811b5-0f3e-49e2-ba69-f2ffa0c782af">
      <Url>https://michiganphi.sharepoint.com/sites/CMDMC/_layouts/15/DocIdRedir.aspx?ID=U47JMPN4QEAR-1806752177-30153</Url>
      <Description>U47JMPN4QEAR-1806752177-30153</Description>
    </_dlc_DocIdUrl>
  </documentManagement>
</p:properties>
</file>

<file path=customXml/itemProps1.xml><?xml version="1.0" encoding="utf-8"?>
<ds:datastoreItem xmlns:ds="http://schemas.openxmlformats.org/officeDocument/2006/customXml" ds:itemID="{535298B2-8688-4BC5-BC76-71C0A302A261}"/>
</file>

<file path=customXml/itemProps2.xml><?xml version="1.0" encoding="utf-8"?>
<ds:datastoreItem xmlns:ds="http://schemas.openxmlformats.org/officeDocument/2006/customXml" ds:itemID="{B47A49C2-BD8A-4800-8E65-6ECCEFA17E80}"/>
</file>

<file path=customXml/itemProps3.xml><?xml version="1.0" encoding="utf-8"?>
<ds:datastoreItem xmlns:ds="http://schemas.openxmlformats.org/officeDocument/2006/customXml" ds:itemID="{A607FAAA-3D67-4D12-B789-40F1CFD82697}"/>
</file>

<file path=customXml/itemProps4.xml><?xml version="1.0" encoding="utf-8"?>
<ds:datastoreItem xmlns:ds="http://schemas.openxmlformats.org/officeDocument/2006/customXml" ds:itemID="{0A486E9F-7A1F-4957-B310-FCB5898FD4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f5ae3530-e5e3-4e8b-8a76-8bfae3a1db48</vt:lpwstr>
  </property>
</Properties>
</file>