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7" documentId="8_{2879C763-8962-4EA1-ABE4-E547A0867194}" xr6:coauthVersionLast="47" xr6:coauthVersionMax="47" xr10:uidLastSave="{D7C46BE3-236F-4F3C-BA52-A7DDF8DBFBAA}"/>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F27" i="5"/>
  <c r="M66" i="5"/>
  <c r="F27" i="2"/>
  <c r="M66" i="2"/>
  <c r="F27" i="4"/>
  <c r="M66" i="4"/>
  <c r="F27" i="6"/>
  <c r="M66" i="6"/>
  <c r="F27" i="3"/>
  <c r="M66" i="3"/>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6" i="7" l="1"/>
  <c r="L52" i="7" s="1"/>
  <c r="E44" i="6"/>
  <c r="L50" i="6" s="1"/>
  <c r="E43" i="7"/>
  <c r="C49" i="7"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D52" i="3"/>
  <c r="C45" i="6"/>
  <c r="E45" i="6" s="1"/>
  <c r="P11" i="6"/>
  <c r="P11" i="8"/>
  <c r="C45" i="8"/>
  <c r="L52" i="5"/>
  <c r="B52" i="5"/>
  <c r="D52" i="5"/>
  <c r="C48" i="6"/>
  <c r="E42" i="6"/>
  <c r="R7" i="6"/>
  <c r="S7" i="6" s="1"/>
  <c r="D21" i="10"/>
  <c r="C4" i="10"/>
  <c r="C7" i="10"/>
  <c r="C5" i="10"/>
  <c r="C10" i="10"/>
  <c r="C11" i="10"/>
  <c r="C6" i="10"/>
  <c r="C9" i="10"/>
  <c r="C12" i="10"/>
  <c r="C8" i="10"/>
  <c r="C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49" i="7" l="1"/>
  <c r="D52" i="7"/>
  <c r="B52" i="7"/>
  <c r="D50" i="5"/>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E58" i="5"/>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C64" i="5"/>
  <c r="B64" i="5"/>
  <c r="L64" i="5"/>
  <c r="C57" i="8"/>
  <c r="E58" i="8"/>
  <c r="L64" i="8" s="1"/>
  <c r="B56" i="8"/>
  <c r="L56" i="8"/>
  <c r="L64" i="3"/>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3" i="3" l="1"/>
  <c r="E57" i="8"/>
  <c r="C63" i="8" s="1"/>
  <c r="B64" i="8"/>
  <c r="D64" i="8"/>
  <c r="C64" i="8"/>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L63" i="8"/>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C70" i="3"/>
  <c r="D14" i="3" s="1"/>
  <c r="L70" i="8"/>
  <c r="E63" i="3"/>
  <c r="C69" i="3" s="1"/>
  <c r="D15" i="3" s="1"/>
  <c r="D63" i="8"/>
  <c r="E63" i="8" s="1"/>
  <c r="D69" i="8" s="1"/>
  <c r="B63" i="8"/>
  <c r="L69" i="7"/>
  <c r="C69" i="7"/>
  <c r="D12" i="7" s="1"/>
  <c r="L70" i="3"/>
  <c r="Q14" i="3" s="1"/>
  <c r="B70" i="3"/>
  <c r="M70" i="3" s="1"/>
  <c r="L70" i="6"/>
  <c r="D70" i="6"/>
  <c r="F13" i="6" s="1"/>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D13" i="3"/>
  <c r="Q9" i="3"/>
  <c r="O10" i="3"/>
  <c r="E68" i="3"/>
  <c r="O9" i="3"/>
  <c r="F31" i="3"/>
  <c r="F29" i="3"/>
  <c r="D14" i="4"/>
  <c r="L70" i="7"/>
  <c r="O14" i="7" s="1"/>
  <c r="M69" i="7"/>
  <c r="C70" i="8"/>
  <c r="Q13" i="8" s="1"/>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69" i="3" l="1"/>
  <c r="E69" i="3" s="1"/>
  <c r="D12" i="3"/>
  <c r="L69" i="3"/>
  <c r="Q12" i="3" s="1"/>
  <c r="B69" i="3"/>
  <c r="M69" i="3" s="1"/>
  <c r="D70" i="8"/>
  <c r="F13" i="8" s="1"/>
  <c r="Q12" i="7"/>
  <c r="R12" i="7" s="1"/>
  <c r="S12" i="7" s="1"/>
  <c r="U12" i="7" s="1"/>
  <c r="J12" i="7" s="1"/>
  <c r="Q13" i="3"/>
  <c r="O12" i="7"/>
  <c r="K12" i="7" s="1"/>
  <c r="D15" i="7"/>
  <c r="Q15" i="7"/>
  <c r="E70" i="3"/>
  <c r="F34" i="3"/>
  <c r="F33" i="3"/>
  <c r="F12" i="7"/>
  <c r="E69" i="7"/>
  <c r="O15" i="7"/>
  <c r="O13" i="6"/>
  <c r="F14" i="6"/>
  <c r="O13" i="3"/>
  <c r="F14" i="3"/>
  <c r="D14" i="6"/>
  <c r="Q13" i="6"/>
  <c r="Q14" i="6"/>
  <c r="E70" i="6"/>
  <c r="O14" i="6"/>
  <c r="B69" i="6"/>
  <c r="M69" i="6" s="1"/>
  <c r="C69" i="6"/>
  <c r="D12" i="6" s="1"/>
  <c r="O14" i="3"/>
  <c r="R14" i="3" s="1"/>
  <c r="S14" i="3" s="1"/>
  <c r="U14" i="3" s="1"/>
  <c r="J14" i="3" s="1"/>
  <c r="M14" i="3" s="1"/>
  <c r="G14" i="3" s="1"/>
  <c r="I15" i="16" s="1"/>
  <c r="D69" i="6"/>
  <c r="F12" i="6" s="1"/>
  <c r="T10" i="3"/>
  <c r="K10" i="4"/>
  <c r="F8" i="7"/>
  <c r="T9" i="4"/>
  <c r="T11" i="4"/>
  <c r="K11" i="4"/>
  <c r="R10" i="4"/>
  <c r="S10" i="4" s="1"/>
  <c r="U10" i="4" s="1"/>
  <c r="J10" i="4" s="1"/>
  <c r="M10" i="4" s="1"/>
  <c r="G10" i="4" s="1"/>
  <c r="G11" i="16"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F8" i="2"/>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R14" i="5"/>
  <c r="S14" i="5" s="1"/>
  <c r="U14" i="5" s="1"/>
  <c r="J14" i="5" s="1"/>
  <c r="M14" i="5" s="1"/>
  <c r="F33" i="8"/>
  <c r="C70" i="2"/>
  <c r="D14" i="2" s="1"/>
  <c r="T14" i="5"/>
  <c r="D13" i="8"/>
  <c r="O15" i="3"/>
  <c r="K14" i="5"/>
  <c r="Q15" i="3"/>
  <c r="D70" i="2"/>
  <c r="O14" i="2" s="1"/>
  <c r="D14"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3" i="3" l="1"/>
  <c r="T12" i="7"/>
  <c r="E70" i="8"/>
  <c r="O14" i="8"/>
  <c r="R14" i="8" s="1"/>
  <c r="S14" i="8" s="1"/>
  <c r="D15" i="6"/>
  <c r="K13" i="3"/>
  <c r="R13" i="3"/>
  <c r="S13" i="3" s="1"/>
  <c r="U13" i="3" s="1"/>
  <c r="J13" i="3" s="1"/>
  <c r="L13" i="3" s="1"/>
  <c r="P14" i="16" s="1"/>
  <c r="T15" i="7"/>
  <c r="T13" i="6"/>
  <c r="K15" i="7"/>
  <c r="K13" i="6"/>
  <c r="F35" i="6"/>
  <c r="R15" i="7"/>
  <c r="S15" i="7" s="1"/>
  <c r="U15" i="7" s="1"/>
  <c r="J15" i="7" s="1"/>
  <c r="T13" i="8"/>
  <c r="R13" i="6"/>
  <c r="S13" i="6" s="1"/>
  <c r="U13" i="6" s="1"/>
  <c r="J13" i="6" s="1"/>
  <c r="M13" i="6" s="1"/>
  <c r="G13" i="6" s="1"/>
  <c r="G13" i="9" s="1"/>
  <c r="O12" i="6"/>
  <c r="F32" i="6"/>
  <c r="R14" i="6"/>
  <c r="S14" i="6" s="1"/>
  <c r="U14" i="6" s="1"/>
  <c r="J14" i="6" s="1"/>
  <c r="M14" i="6" s="1"/>
  <c r="G14" i="6" s="1"/>
  <c r="M15" i="13" s="1"/>
  <c r="K14" i="6"/>
  <c r="Q12" i="6"/>
  <c r="Q15" i="6"/>
  <c r="T14" i="6"/>
  <c r="K14" i="3"/>
  <c r="L14" i="3" s="1"/>
  <c r="P15" i="16" s="1"/>
  <c r="T14" i="3"/>
  <c r="E69" i="6"/>
  <c r="O15" i="6"/>
  <c r="F15" i="6"/>
  <c r="L13" i="4"/>
  <c r="O14" i="16" s="1"/>
  <c r="L11" i="4"/>
  <c r="O12" i="16" s="1"/>
  <c r="K8" i="7"/>
  <c r="O13" i="2"/>
  <c r="O12" i="8"/>
  <c r="F35" i="8"/>
  <c r="T8" i="7"/>
  <c r="U8" i="7" s="1"/>
  <c r="J8" i="7" s="1"/>
  <c r="M8" i="7" s="1"/>
  <c r="T13" i="7"/>
  <c r="Q12" i="8"/>
  <c r="F32" i="8"/>
  <c r="Q10" i="7"/>
  <c r="F13" i="2"/>
  <c r="Q11" i="7"/>
  <c r="L12" i="7"/>
  <c r="S13" i="16" s="1"/>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M12" i="7"/>
  <c r="L9" i="4"/>
  <c r="O10" i="16" s="1"/>
  <c r="R13" i="7"/>
  <c r="S13" i="7" s="1"/>
  <c r="U13" i="7" s="1"/>
  <c r="J13" i="7" s="1"/>
  <c r="M13" i="7" s="1"/>
  <c r="Q13" i="2"/>
  <c r="U9" i="3"/>
  <c r="J9" i="3" s="1"/>
  <c r="L9" i="3" s="1"/>
  <c r="K15" i="3"/>
  <c r="T15" i="3"/>
  <c r="Q14" i="13"/>
  <c r="N30" i="5"/>
  <c r="L14" i="5"/>
  <c r="Q15" i="16" s="1"/>
  <c r="I13" i="9"/>
  <c r="L13" i="5"/>
  <c r="Q14" i="16" s="1"/>
  <c r="L10" i="4"/>
  <c r="O11" i="16" s="1"/>
  <c r="K13" i="7"/>
  <c r="T8" i="2"/>
  <c r="U8" i="2" s="1"/>
  <c r="J8" i="2" s="1"/>
  <c r="M11" i="4"/>
  <c r="G11" i="4" s="1"/>
  <c r="T14" i="7"/>
  <c r="U14" i="7" s="1"/>
  <c r="J14" i="7" s="1"/>
  <c r="K14" i="7"/>
  <c r="N30" i="3"/>
  <c r="D10" i="9"/>
  <c r="G11" i="13"/>
  <c r="E10" i="9"/>
  <c r="I11" i="13"/>
  <c r="D9" i="9"/>
  <c r="G10"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M13" i="3" l="1"/>
  <c r="G13" i="3" s="1"/>
  <c r="L15" i="7"/>
  <c r="S16" i="16" s="1"/>
  <c r="M15" i="7"/>
  <c r="T12" i="6"/>
  <c r="L13" i="6"/>
  <c r="R14" i="16" s="1"/>
  <c r="M14" i="13"/>
  <c r="K12" i="6"/>
  <c r="R12" i="6"/>
  <c r="S12" i="6" s="1"/>
  <c r="U12" i="6" s="1"/>
  <c r="J12" i="6" s="1"/>
  <c r="L12" i="6" s="1"/>
  <c r="R13" i="16" s="1"/>
  <c r="T15" i="6"/>
  <c r="K15" i="6"/>
  <c r="R15" i="6"/>
  <c r="S15" i="6" s="1"/>
  <c r="U15" i="6" s="1"/>
  <c r="J15" i="6" s="1"/>
  <c r="U14" i="8"/>
  <c r="J14" i="8" s="1"/>
  <c r="N30" i="8"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P13" i="9"/>
  <c r="K9" i="7"/>
  <c r="T14" i="2"/>
  <c r="V12" i="13"/>
  <c r="U10" i="13"/>
  <c r="N11" i="9"/>
  <c r="T15" i="5"/>
  <c r="W14" i="13"/>
  <c r="N13" i="9"/>
  <c r="L15" i="3"/>
  <c r="P16" i="16" s="1"/>
  <c r="N14" i="9"/>
  <c r="L13" i="7"/>
  <c r="S14" i="16" s="1"/>
  <c r="M9" i="3"/>
  <c r="G9" i="3" s="1"/>
  <c r="I10" i="13" s="1"/>
  <c r="I14" i="13"/>
  <c r="I14" i="16"/>
  <c r="G12" i="13"/>
  <c r="G12" i="16"/>
  <c r="N9" i="9"/>
  <c r="P10" i="16"/>
  <c r="M14" i="7"/>
  <c r="N30" i="7"/>
  <c r="L14" i="7"/>
  <c r="S15" i="16" s="1"/>
  <c r="L8" i="7"/>
  <c r="S9" i="16" s="1"/>
  <c r="O13" i="9"/>
  <c r="V14" i="13"/>
  <c r="M9" i="9"/>
  <c r="M10" i="9"/>
  <c r="O14" i="9"/>
  <c r="V10" i="13"/>
  <c r="Z14" i="13"/>
  <c r="V15" i="13"/>
  <c r="W15" i="13"/>
  <c r="U12" i="2"/>
  <c r="J12" i="2" s="1"/>
  <c r="L12" i="2" s="1"/>
  <c r="N13" i="16" s="1"/>
  <c r="R13" i="9"/>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X14" i="13" l="1"/>
  <c r="M12" i="6"/>
  <c r="G12" i="6" s="1"/>
  <c r="G12" i="9" s="1"/>
  <c r="L15" i="6"/>
  <c r="R16" i="16" s="1"/>
  <c r="M15" i="6"/>
  <c r="G15" i="6" s="1"/>
  <c r="M16" i="13" s="1"/>
  <c r="L14" i="8"/>
  <c r="T15" i="16" s="1"/>
  <c r="M14" i="8"/>
  <c r="G14" i="8" s="1"/>
  <c r="K15"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M13" i="13"/>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X16" i="13" l="1"/>
  <c r="G15" i="9"/>
  <c r="Z15" i="13"/>
  <c r="P15" i="9"/>
  <c r="R14" i="9"/>
  <c r="Q15" i="13"/>
  <c r="I14"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<sst xmlns="http://schemas.openxmlformats.org/spreadsheetml/2006/main" count="654" uniqueCount="141">
  <si>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</si>
  <si>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</si>
  <si>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</si>
  <si>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</si>
  <si>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</si>
  <si>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</si>
  <si>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</si>
  <si>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</si>
  <si>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</si>
  <si>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</si>
  <si>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</si>
  <si>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</si>
  <si>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</si>
  <si>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</si>
  <si>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</si>
  <si>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</si>
  <si>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</si>
  <si>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</si>
  <si>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</si>
  <si>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</si>
  <si>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</si>
  <si>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</si>
  <si>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</si>
  <si>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</si>
  <si>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</si>
  <si>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</si>
  <si>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</si>
  <si>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</si>
  <si>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</si>
  <si>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</si>
  <si>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</si>
  <si>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</si>
  <si>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</si>
  <si>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</si>
  <si>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</si>
  <si>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</si>
  <si>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</si>
  <si>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</si>
  <si>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</si>
  <si>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</si>
  <si>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</si>
  <si>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</si>
  <si>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</si>
  <si>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</si>
  <si>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</si>
  <si>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</si>
  <si>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</si>
  <si>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</si>
  <si>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</si>
  <si>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</si>
  <si>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</si>
  <si>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</si>
  <si>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</si>
  <si>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</si>
  <si>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</si>
  <si>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</si>
  <si>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</si>
  <si>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</si>
  <si>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</si>
  <si>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</si>
  <si>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</si>
  <si>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</si>
  <si>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</si>
  <si>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</si>
  <si>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</si>
  <si>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</si>
  <si>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</si>
  <si>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</si>
  <si>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</si>
  <si>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</si>
  <si>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</si>
  <si>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</si>
  <si>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</si>
  <si>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</si>
  <si>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</si>
  <si>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</si>
  <si>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</si>
  <si>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</si>
  <si>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</si>
  <si>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</si>
  <si>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</si>
  <si>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</si>
  <si>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</si>
  <si>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</si>
  <si>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</si>
  <si>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</si>
  <si>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</si>
  <si>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</si>
  <si>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</si>
  <si>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</si>
  <si>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</si>
  <si>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</si>
  <si>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</si>
  <si>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</si>
  <si>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</si>
  <si>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</si>
  <si>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</si>
  <si>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</si>
  <si>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</si>
  <si>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</si>
  <si>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</si>
  <si>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</si>
  <si>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</si>
  <si>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</si>
  <si>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</si>
  <si>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</si>
  <si>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</si>
  <si>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</si>
  <si>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</si>
  <si>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</si>
  <si>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</si>
  <si>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</si>
  <si>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</si>
  <si>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</si>
  <si>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</si>
  <si>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</si>
  <si>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</si>
  <si>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</si>
  <si>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</si>
  <si>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</si>
  <si>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</si>
  <si>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</si>
  <si>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</si>
  <si>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</si>
  <si>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</si>
  <si>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</si>
  <si>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</si>
  <si>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</si>
  <si>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</si>
  <si>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</si>
  <si>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</si>
  <si>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</si>
  <si>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</si>
  <si>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</si>
  <si>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</si>
  <si>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</si>
  <si>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Baraga</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</si>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</sst>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Baraga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c:v>
                </c:pt>
                <c:pt idx="3">
                  <c:v>Petitions, total N=0</c:v>
                </c:pt>
                <c:pt idx="4">
                  <c:v>Detentions, total N=0</c:v>
                </c:pt>
                <c:pt idx="5">
                  <c:v>Referrals, total N=7</c:v>
                </c:pt>
                <c:pt idx="6">
                  <c:v>Arrests, total N=2</c:v>
                </c:pt>
                <c:pt idx="7">
                  <c:v>Population, total N=682</c:v>
                </c:pt>
              </c:strCache>
            </c:strRef>
          </c:cat>
          <c:val>
            <c:numRef>
              <c:f>'Stacked 100%'!$B$7:$B$14</c:f>
              <c:numCache>
                <c:formatCode>0%</c:formatCode>
                <c:ptCount val="8"/>
                <c:pt idx="0">
                  <c:v>0</c:v>
                </c:pt>
                <c:pt idx="1">
                  <c:v>0</c:v>
                </c:pt>
                <c:pt idx="2">
                  <c:v>0</c:v>
                </c:pt>
                <c:pt idx="3">
                  <c:v>0</c:v>
                </c:pt>
                <c:pt idx="4">
                  <c:v>0</c:v>
                </c:pt>
                <c:pt idx="5">
                  <c:v>0</c:v>
                </c:pt>
                <c:pt idx="6">
                  <c:v>0</c:v>
                </c:pt>
                <c:pt idx="7">
                  <c:v>2.1994134897360705E-2</c:v>
                </c:pt>
              </c:numCache>
            </c:numRef>
          </c:val>
          <c:extLst>
            <c:ext xmlns:c16="http://schemas.microsoft.com/office/drawing/2014/chart" uri="{C3380CC4-5D6E-409C-BE32-E72D297353CC}">
              <c16:uniqueId val="{00000000-C07D-4F1D-982F-F26466934648}"/>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c:v>
                </c:pt>
                <c:pt idx="3">
                  <c:v>Petitions, total N=0</c:v>
                </c:pt>
                <c:pt idx="4">
                  <c:v>Detentions, total N=0</c:v>
                </c:pt>
                <c:pt idx="5">
                  <c:v>Referrals, total N=7</c:v>
                </c:pt>
                <c:pt idx="6">
                  <c:v>Arrests, total N=2</c:v>
                </c:pt>
                <c:pt idx="7">
                  <c:v>Population, total N=682</c:v>
                </c:pt>
              </c:strCache>
            </c:strRef>
          </c:cat>
          <c:val>
            <c:numRef>
              <c:f>'Stacked 100%'!$C$7:$C$14</c:f>
              <c:numCache>
                <c:formatCode>0%</c:formatCode>
                <c:ptCount val="8"/>
                <c:pt idx="0">
                  <c:v>0</c:v>
                </c:pt>
                <c:pt idx="1">
                  <c:v>0</c:v>
                </c:pt>
                <c:pt idx="2">
                  <c:v>0</c:v>
                </c:pt>
                <c:pt idx="3">
                  <c:v>0</c:v>
                </c:pt>
                <c:pt idx="4">
                  <c:v>0</c:v>
                </c:pt>
                <c:pt idx="5">
                  <c:v>0</c:v>
                </c:pt>
                <c:pt idx="6">
                  <c:v>0</c:v>
                </c:pt>
                <c:pt idx="7">
                  <c:v>2.4926686217008796E-2</c:v>
                </c:pt>
              </c:numCache>
            </c:numRef>
          </c:val>
          <c:extLst>
            <c:ext xmlns:c16="http://schemas.microsoft.com/office/drawing/2014/chart" uri="{C3380CC4-5D6E-409C-BE32-E72D297353CC}">
              <c16:uniqueId val="{00000001-C07D-4F1D-982F-F26466934648}"/>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N=1</c:v>
                </c:pt>
                <c:pt idx="3">
                  <c:v>Petitions, total N=0</c:v>
                </c:pt>
                <c:pt idx="4">
                  <c:v>Detentions, total N=0</c:v>
                </c:pt>
                <c:pt idx="5">
                  <c:v>Referrals, total N=7</c:v>
                </c:pt>
                <c:pt idx="6">
                  <c:v>Arrests, total N=2</c:v>
                </c:pt>
                <c:pt idx="7">
                  <c:v>Population, total N=682</c:v>
                </c:pt>
              </c:strCache>
            </c:strRef>
          </c:cat>
          <c:val>
            <c:numRef>
              <c:f>'Stacked 100%'!$H$7:$H$14</c:f>
              <c:numCache>
                <c:formatCode>0%</c:formatCode>
                <c:ptCount val="8"/>
                <c:pt idx="0">
                  <c:v>0</c:v>
                </c:pt>
                <c:pt idx="1">
                  <c:v>0</c:v>
                </c:pt>
                <c:pt idx="2">
                  <c:v>0</c:v>
                </c:pt>
                <c:pt idx="3">
                  <c:v>0</c:v>
                </c:pt>
                <c:pt idx="4">
                  <c:v>0</c:v>
                </c:pt>
                <c:pt idx="5">
                  <c:v>2.0408163265306121E-2</c:v>
                </c:pt>
                <c:pt idx="6">
                  <c:v>0</c:v>
                </c:pt>
                <c:pt idx="7">
                  <c:v>3.6119400417953065E-4</c:v>
                </c:pt>
              </c:numCache>
            </c:numRef>
          </c:val>
          <c:extLst>
            <c:ext xmlns:c16="http://schemas.microsoft.com/office/drawing/2014/chart" uri="{C3380CC4-5D6E-409C-BE32-E72D297353CC}">
              <c16:uniqueId val="{00000002-C07D-4F1D-982F-F26466934648}"/>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c:v>
                </c:pt>
                <c:pt idx="3">
                  <c:v>Petitions, total N=0</c:v>
                </c:pt>
                <c:pt idx="4">
                  <c:v>Detentions, total N=0</c:v>
                </c:pt>
                <c:pt idx="5">
                  <c:v>Referrals, total N=7</c:v>
                </c:pt>
                <c:pt idx="6">
                  <c:v>Arrests, total N=2</c:v>
                </c:pt>
                <c:pt idx="7">
                  <c:v>Population, total N=682</c:v>
                </c:pt>
              </c:strCache>
            </c:strRef>
          </c:cat>
          <c:val>
            <c:numRef>
              <c:f>'Stacked 100%'!$I$7:$I$14</c:f>
              <c:numCache>
                <c:formatCode>0%</c:formatCode>
                <c:ptCount val="8"/>
                <c:pt idx="0">
                  <c:v>0</c:v>
                </c:pt>
                <c:pt idx="1">
                  <c:v>0</c:v>
                </c:pt>
                <c:pt idx="2">
                  <c:v>0</c:v>
                </c:pt>
                <c:pt idx="3">
                  <c:v>0</c:v>
                </c:pt>
                <c:pt idx="4">
                  <c:v>0</c:v>
                </c:pt>
                <c:pt idx="5">
                  <c:v>0.2857142857142857</c:v>
                </c:pt>
                <c:pt idx="6">
                  <c:v>1</c:v>
                </c:pt>
                <c:pt idx="7">
                  <c:v>0.70674486803519065</c:v>
                </c:pt>
              </c:numCache>
            </c:numRef>
          </c:val>
          <c:extLst>
            <c:ext xmlns:c16="http://schemas.microsoft.com/office/drawing/2014/chart" uri="{C3380CC4-5D6E-409C-BE32-E72D297353CC}">
              <c16:uniqueId val="{00000003-C07D-4F1D-982F-F26466934648}"/>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N=1</c:v>
                </c:pt>
                <c:pt idx="3">
                  <c:v>Petitions, total N=0</c:v>
                </c:pt>
                <c:pt idx="4">
                  <c:v>Detentions, total N=0</c:v>
                </c:pt>
                <c:pt idx="5">
                  <c:v>Referrals, total N=7</c:v>
                </c:pt>
                <c:pt idx="6">
                  <c:v>Arrests, total N=2</c:v>
                </c:pt>
                <c:pt idx="7">
                  <c:v>Population, total N=682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07D-4F1D-982F-F26466934648}"/>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3" sqref="K13"/>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682</v>
      </c>
      <c r="C6" s="11">
        <v>482</v>
      </c>
      <c r="D6" s="11">
        <v>15</v>
      </c>
      <c r="E6" s="11">
        <v>17</v>
      </c>
      <c r="F6" s="11">
        <v>5</v>
      </c>
      <c r="G6" s="11"/>
      <c r="H6" s="11">
        <v>163</v>
      </c>
      <c r="I6" s="11"/>
      <c r="J6" s="91">
        <f>SUM(D6:I6)</f>
        <v>200</v>
      </c>
      <c r="K6" s="92"/>
    </row>
    <row r="7" spans="1:11" ht="15.75" customHeight="1" thickBot="1">
      <c r="A7" s="10" t="s">
        <v>8</v>
      </c>
      <c r="B7" s="11">
        <f t="shared" ref="B7:B15" si="0">SUM(C7:I7)+K7</f>
        <v>2</v>
      </c>
      <c r="C7" s="11">
        <v>2</v>
      </c>
      <c r="D7" s="11"/>
      <c r="E7" s="11"/>
      <c r="F7" s="11"/>
      <c r="G7" s="11"/>
      <c r="H7" s="11"/>
      <c r="I7" s="11"/>
      <c r="J7" s="91">
        <f t="shared" ref="J7:J15" si="1">SUM(D7:I7)</f>
        <v>0</v>
      </c>
      <c r="K7" s="92"/>
    </row>
    <row r="8" spans="1:11" ht="15.75" customHeight="1" thickBot="1">
      <c r="A8" s="10" t="s">
        <v>9</v>
      </c>
      <c r="B8" s="11">
        <f t="shared" si="0"/>
        <v>7</v>
      </c>
      <c r="C8" s="11">
        <v>2</v>
      </c>
      <c r="D8" s="11"/>
      <c r="E8" s="11"/>
      <c r="F8" s="11"/>
      <c r="G8" s="11"/>
      <c r="H8" s="11">
        <v>1</v>
      </c>
      <c r="I8" s="11"/>
      <c r="J8" s="91">
        <f t="shared" si="1"/>
        <v>1</v>
      </c>
      <c r="K8" s="92">
        <v>4</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1</v>
      </c>
      <c r="C12" s="11"/>
      <c r="D12" s="11"/>
      <c r="E12" s="11"/>
      <c r="F12" s="11"/>
      <c r="G12" s="11"/>
      <c r="H12" s="11"/>
      <c r="I12" s="11"/>
      <c r="J12" s="91">
        <f t="shared" si="1"/>
        <v>0</v>
      </c>
      <c r="K12" s="92">
        <v>1</v>
      </c>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Baraga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482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4.1493775933609962</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480</v>
      </c>
      <c r="R7" s="42">
        <f t="shared" ref="R7:R15" si="5">SUM(N7:Q7)</f>
        <v>482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v>
      </c>
      <c r="D8" s="34">
        <f>IF((AND(C67&gt;0,C8&gt;0)),(C8/C67),0)</f>
        <v>100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v>
      </c>
      <c r="Q8" s="42">
        <f>(C$67*L67)-C8</f>
        <v>0</v>
      </c>
      <c r="R8" s="42">
        <f t="shared" si="5"/>
        <v>2.0499999999999998</v>
      </c>
      <c r="S8" s="30">
        <f t="shared" si="6"/>
        <v>2.0500000000000001E-2</v>
      </c>
      <c r="T8" s="30">
        <f t="shared" si="7"/>
        <v>1.0000000000000002E-2</v>
      </c>
      <c r="U8" s="31">
        <f t="shared" si="8"/>
        <v>2.0499999999999998</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0.48199999999999998</v>
      </c>
      <c r="D42" s="56">
        <f>E6/1000</f>
        <v>0</v>
      </c>
      <c r="E42" s="56">
        <f>MAX(C42:D42)</f>
        <v>0.48199999999999998</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0.02</v>
      </c>
      <c r="D44" s="56">
        <f>E8/100</f>
        <v>0</v>
      </c>
      <c r="E44" s="56">
        <f>MAX(C44:D44,0)</f>
        <v>0.02</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0.48199999999999998</v>
      </c>
      <c r="D48" s="56">
        <f>D42</f>
        <v>0</v>
      </c>
      <c r="E48" s="56">
        <f>MAX(C48:D48)</f>
        <v>0.48199999999999998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0.48199999999999998</v>
      </c>
      <c r="D54" s="56">
        <f>D48</f>
        <v>0</v>
      </c>
      <c r="E54" s="56">
        <f>MAX(C54:D54)</f>
        <v>0.48199999999999998</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arrests</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0.48199999999999998</v>
      </c>
      <c r="D60" s="56">
        <f>D54</f>
        <v>0</v>
      </c>
      <c r="E60" s="56">
        <f>MAX(C60:D60)</f>
        <v>0.48199999999999998</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0.48199999999999998</v>
      </c>
      <c r="D66" s="56">
        <f>D60</f>
        <v>0</v>
      </c>
      <c r="E66" s="56">
        <f>MAX(C66:D66)</f>
        <v>0.48199999999999998</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Baraga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482</v>
      </c>
      <c r="D6" s="34"/>
      <c r="E6" s="33">
        <f>'Data Entry'!J6</f>
        <v>200</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4.1493775933609962</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200</v>
      </c>
      <c r="P7" s="42">
        <f t="shared" ref="P7:P15" si="4">C7</f>
        <v>2</v>
      </c>
      <c r="Q7" s="42">
        <f>C6-C7</f>
        <v>480</v>
      </c>
      <c r="R7" s="42">
        <f t="shared" ref="R7:R15" si="5">SUM(N7:Q7)</f>
        <v>682</v>
      </c>
      <c r="S7" s="30">
        <f t="shared" ref="S7:S15" si="6">R7*((((N7*Q7)-(O7*P7))^2))</f>
        <v>109120000</v>
      </c>
      <c r="T7" s="30">
        <f t="shared" ref="T7:T15" si="7">(N7+O7)*(P7+Q7)*(N7+P7)*(O7+Q7)</f>
        <v>131104000</v>
      </c>
      <c r="U7" s="31">
        <f t="shared" ref="U7:U15" si="8">IF((S7&gt;0),S7/T7,"- -")</f>
        <v>0.83231632902123509</v>
      </c>
    </row>
    <row r="8" spans="2:21" ht="18" customHeight="1">
      <c r="B8" s="32" t="str">
        <f>'Data Entry'!A8</f>
        <v>3. Refer to Juvenile Court</v>
      </c>
      <c r="C8" s="33">
        <f>'Data Entry'!C8</f>
        <v>2</v>
      </c>
      <c r="D8" s="34">
        <f>IF((AND(C67&gt;0,C8&gt;0)),(C8/C67),0)</f>
        <v>100</v>
      </c>
      <c r="E8" s="33">
        <f>'Data Entry'!J8</f>
        <v>1</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v>
      </c>
      <c r="O8" s="42">
        <f>((D67*L67)-E8)+0.05</f>
        <v>-0.95</v>
      </c>
      <c r="P8" s="42">
        <f t="shared" si="4"/>
        <v>2</v>
      </c>
      <c r="Q8" s="42">
        <f>(C$67*L67)-C8</f>
        <v>0</v>
      </c>
      <c r="R8" s="42">
        <f t="shared" si="5"/>
        <v>2.0499999999999998</v>
      </c>
      <c r="S8" s="30">
        <f t="shared" si="6"/>
        <v>7.4004999999999992</v>
      </c>
      <c r="T8" s="30">
        <f t="shared" si="7"/>
        <v>-0.28500000000000025</v>
      </c>
      <c r="U8" s="31">
        <f t="shared" si="8"/>
        <v>-25.96666666666664</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2</v>
      </c>
      <c r="R9" s="42">
        <f t="shared" si="5"/>
        <v>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2</v>
      </c>
      <c r="R10" s="42">
        <f t="shared" si="5"/>
        <v>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2</v>
      </c>
      <c r="R11" s="42">
        <f t="shared" si="5"/>
        <v>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2</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2</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2</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0.48199999999999998</v>
      </c>
      <c r="D42" s="56">
        <f>E6/1000</f>
        <v>0.2</v>
      </c>
      <c r="E42" s="56">
        <f>MAX(C42:D42)</f>
        <v>0.48199999999999998</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0.02</v>
      </c>
      <c r="D44" s="56">
        <f>E8/100</f>
        <v>0.01</v>
      </c>
      <c r="E44" s="56">
        <f>MAX(C44:D44,0)</f>
        <v>0.02</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0.48199999999999998</v>
      </c>
      <c r="D48" s="56">
        <f>D42</f>
        <v>0.2</v>
      </c>
      <c r="E48" s="56">
        <f>MAX(C48:D48)</f>
        <v>0.48199999999999998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0.02</v>
      </c>
      <c r="D50" s="49">
        <f t="shared" si="9"/>
        <v>0.01</v>
      </c>
      <c r="E50" s="49">
        <f>MAX(C50:D50)</f>
        <v>0.02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0.02</v>
      </c>
      <c r="D51" s="49">
        <f>IF(($E45&gt;0),D45,D44)</f>
        <v>0.01</v>
      </c>
      <c r="E51" s="49">
        <f>MAX(C51:D51)</f>
        <v>0.02</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0.48199999999999998</v>
      </c>
      <c r="D54" s="56">
        <f>D48</f>
        <v>0.2</v>
      </c>
      <c r="E54" s="56">
        <f>MAX(C54:D54)</f>
        <v>0.48199999999999998</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0.02</v>
      </c>
      <c r="D56" s="49">
        <f t="shared" si="10"/>
        <v>0.01</v>
      </c>
      <c r="E56" s="49">
        <f>MAX(C56:D56)</f>
        <v>0.02</v>
      </c>
      <c r="G56" s="1" t="str">
        <f>G50</f>
        <v>per 100 referrals</v>
      </c>
      <c r="L56" s="58">
        <f>IF(($E50&gt;0),L50,L49)</f>
        <v>100</v>
      </c>
      <c r="M56" s="58"/>
    </row>
    <row r="57" spans="2:18" ht="15" hidden="1" customHeight="1">
      <c r="B57" s="49" t="str">
        <f>IF(($E51&gt;0),B51,B49)</f>
        <v>per 100 arrests</v>
      </c>
      <c r="C57" s="49">
        <f>IF(($E51&gt;0),C51,C50)</f>
        <v>0.02</v>
      </c>
      <c r="D57" s="49">
        <f>IF(($E51&gt;0),D51,D50)</f>
        <v>0.01</v>
      </c>
      <c r="E57" s="49">
        <f>MAX(C57:D57)</f>
        <v>0.02</v>
      </c>
      <c r="G57" s="1" t="str">
        <f>G51</f>
        <v>per 100 youth petitioned</v>
      </c>
      <c r="L57" s="58">
        <f>IF(($E51&gt;0),L51,L50)</f>
        <v>100</v>
      </c>
      <c r="M57" s="58"/>
    </row>
    <row r="58" spans="2:18" ht="15" hidden="1" customHeight="1">
      <c r="B58" s="49" t="str">
        <f>IF(($E52&gt;0),B52,B51)</f>
        <v>per 100 arrests</v>
      </c>
      <c r="C58" s="49">
        <f>IF(($E52&gt;0),C52,C51)</f>
        <v>0.02</v>
      </c>
      <c r="D58" s="49">
        <f>IF(($E52&gt;0),D52,D51)</f>
        <v>0.01</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0.48199999999999998</v>
      </c>
      <c r="D60" s="56">
        <f>D54</f>
        <v>0.2</v>
      </c>
      <c r="E60" s="56">
        <f>MAX(C60:D60)</f>
        <v>0.48199999999999998</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0.02</v>
      </c>
      <c r="D62" s="49">
        <f t="shared" si="11"/>
        <v>0.01</v>
      </c>
      <c r="E62" s="49">
        <f>MAX(C62:D62)</f>
        <v>0.02</v>
      </c>
      <c r="G62" s="1" t="str">
        <f>G56</f>
        <v>per 100 referrals</v>
      </c>
      <c r="L62" s="58">
        <f>IF(($E56&gt;0),L56,L55)</f>
        <v>100</v>
      </c>
      <c r="M62" s="58"/>
    </row>
    <row r="63" spans="2:18" ht="15" hidden="1" customHeight="1">
      <c r="B63" s="49" t="str">
        <f>IF(($E57&gt;0),B57,B55)</f>
        <v>per 100 arrests</v>
      </c>
      <c r="C63" s="49">
        <f>IF(($E57&gt;0),C57,C56)</f>
        <v>0.02</v>
      </c>
      <c r="D63" s="49">
        <f>IF(($E57&gt;0),D57,D56)</f>
        <v>0.01</v>
      </c>
      <c r="E63" s="49">
        <f>MAX(C63:D63)</f>
        <v>0.02</v>
      </c>
      <c r="G63" s="1" t="str">
        <f>G57</f>
        <v>per 100 youth petitioned</v>
      </c>
      <c r="L63" s="58">
        <f>IF(($E57&gt;0),L57,L56)</f>
        <v>100</v>
      </c>
      <c r="M63" s="58"/>
    </row>
    <row r="64" spans="2:18" ht="15" hidden="1" customHeight="1">
      <c r="B64" s="49" t="str">
        <f>IF(($E58&gt;0),B58,B57)</f>
        <v>per 100 arrests</v>
      </c>
      <c r="C64" s="49">
        <f>IF(($E58&gt;0),C58,C57)</f>
        <v>0.02</v>
      </c>
      <c r="D64" s="49">
        <f>IF(($E58&gt;0),D58,D57)</f>
        <v>0.01</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0.48199999999999998</v>
      </c>
      <c r="D66" s="56">
        <f>D60</f>
        <v>0.2</v>
      </c>
      <c r="E66" s="56">
        <f>MAX(C66:D66)</f>
        <v>0.48199999999999998</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0.02</v>
      </c>
      <c r="D68" s="49">
        <f t="shared" si="12"/>
        <v>0.01</v>
      </c>
      <c r="E68" s="49">
        <f>MAX(C68:D68)</f>
        <v>0.02</v>
      </c>
      <c r="G68" s="1" t="str">
        <f>G62</f>
        <v>per 100 referrals</v>
      </c>
      <c r="L68" s="58">
        <f>IF(($E62&gt;0),L62,L61)</f>
        <v>100</v>
      </c>
      <c r="M68" s="58">
        <f>IF((B68=G68),1,2)</f>
        <v>1</v>
      </c>
    </row>
    <row r="69" spans="2:13" ht="15" hidden="1" customHeight="1">
      <c r="B69" s="49" t="str">
        <f>IF(($E63&gt;0),B63,B61)</f>
        <v>per 100 arrests</v>
      </c>
      <c r="C69" s="49">
        <f>IF(($E63&gt;0),C63,C62)</f>
        <v>0.02</v>
      </c>
      <c r="D69" s="49">
        <f>IF(($E63&gt;0),D63,D62)</f>
        <v>0.01</v>
      </c>
      <c r="E69" s="49">
        <f>MAX(C69:D69)</f>
        <v>0.02</v>
      </c>
      <c r="G69" s="1" t="str">
        <f>G63</f>
        <v>per 100 youth petitioned</v>
      </c>
      <c r="L69" s="58">
        <f>IF(($E63&gt;0),L63,L62)</f>
        <v>100</v>
      </c>
      <c r="M69" s="58">
        <f>IF((B69=G69),1,2)</f>
        <v>2</v>
      </c>
    </row>
    <row r="70" spans="2:13" ht="15" hidden="1" customHeight="1">
      <c r="B70" s="49" t="str">
        <f>IF(($E64&gt;0),B64,B63)</f>
        <v>per 100 arrests</v>
      </c>
      <c r="C70" s="49">
        <f>IF(($E64&gt;0),C64,C63)</f>
        <v>0.02</v>
      </c>
      <c r="D70" s="49">
        <f>IF(($E64&gt;0),D64,D63)</f>
        <v>0.01</v>
      </c>
      <c r="E70" s="56">
        <f>MAX(C70:D70)</f>
        <v>0.02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Baraga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20</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682</v>
      </c>
      <c r="D3" s="57">
        <f>'Data Entry'!C6</f>
        <v>482</v>
      </c>
      <c r="E3" s="57">
        <f>'Data Entry'!D6</f>
        <v>15</v>
      </c>
      <c r="F3" s="57">
        <f>'Data Entry'!E6</f>
        <v>17</v>
      </c>
      <c r="G3" s="57">
        <f>'Data Entry'!F6</f>
        <v>5</v>
      </c>
      <c r="H3" s="57">
        <f>'Data Entry'!G6</f>
        <v>0</v>
      </c>
      <c r="I3" s="57">
        <f>'Data Entry'!H6</f>
        <v>163</v>
      </c>
      <c r="J3" s="57">
        <f>'Data Entry'!I6</f>
        <v>0</v>
      </c>
      <c r="K3" s="57">
        <f>'Data Entry'!J6</f>
        <v>200</v>
      </c>
    </row>
    <row r="4" spans="2:11" ht="15" customHeight="1">
      <c r="B4" s="16" t="s">
        <v>8</v>
      </c>
      <c r="C4" s="1">
        <f>IF((C$3&gt;0),(1000*('Data Entry'!B7/'Data Entry'!B$6)), 0)</f>
        <v>2.9325513196480939</v>
      </c>
      <c r="D4" s="1">
        <f>IF((D$3&gt;0),(1000*('Data Entry'!C7/'Data Entry'!C$6)), 0)</f>
        <v>4.1493775933609962</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10.263929618768328</v>
      </c>
      <c r="D5" s="1">
        <f>IF((D$3&gt;0),(1000*('Data Entry'!C8/'Data Entry'!C$6)), 0)</f>
        <v>4.1493775933609962</v>
      </c>
      <c r="E5" s="1">
        <f>IF((E$3&gt;0),(1000*('Data Entry'!D8/'Data Entry'!D$6)), 0)</f>
        <v>0</v>
      </c>
      <c r="F5" s="1">
        <f>IF((F$3&gt;0),(1000*('Data Entry'!E8/'Data Entry'!E$6)), 0)</f>
        <v>0</v>
      </c>
      <c r="G5" s="1">
        <f>IF((G$3&gt;0),(1000*('Data Entry'!F8/'Data Entry'!F$6)), 0)</f>
        <v>0</v>
      </c>
      <c r="H5" s="1">
        <f>IF((H$3&gt;0),(1000*('Data Entry'!G8/'Data Entry'!G$6)), 0)</f>
        <v>0</v>
      </c>
      <c r="I5" s="1">
        <f>IF((I$3&gt;0),(1000*('Data Entry'!H8/'Data Entry'!H$6)), 0)</f>
        <v>6.1349693251533743</v>
      </c>
      <c r="J5" s="1">
        <f>IF((J$3&gt;0),(1000*('Data Entry'!I8/'Data Entry'!I$6)), 0)</f>
        <v>0</v>
      </c>
      <c r="K5" s="1">
        <f>IF((K$3&gt;0),(1000*('Data Entry'!J8/'Data Entry'!J$6)), 0)</f>
        <v>5</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1.466275659824047</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Baraga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t="str">
        <f t="shared" si="2"/>
        <v>--</v>
      </c>
      <c r="E20" s="72" t="str">
        <f t="shared" si="2"/>
        <v>--</v>
      </c>
      <c r="F20" s="72" t="str">
        <f t="shared" si="2"/>
        <v>--</v>
      </c>
      <c r="G20" s="72" t="str">
        <f t="shared" si="2"/>
        <v>--</v>
      </c>
      <c r="H20" s="72">
        <f t="shared" si="2"/>
        <v>1.4785276073619631</v>
      </c>
      <c r="I20" s="72" t="str">
        <f t="shared" si="2"/>
        <v>--</v>
      </c>
      <c r="J20" s="73">
        <f t="shared" si="2"/>
        <v>1.2049999999999998</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Baraga</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482</v>
      </c>
      <c r="D7" s="104">
        <f>'Data Entry'!D6</f>
        <v>15</v>
      </c>
      <c r="E7" s="105"/>
      <c r="F7" s="106">
        <f>'Data Entry'!E6</f>
        <v>17</v>
      </c>
      <c r="G7" s="105"/>
      <c r="H7" s="106">
        <f>'Data Entry'!F6</f>
        <v>5</v>
      </c>
      <c r="I7" s="105"/>
      <c r="J7" s="106">
        <f>'Data Entry'!G6</f>
        <v>0</v>
      </c>
      <c r="K7" s="105"/>
      <c r="L7" s="106">
        <f>'Data Entry'!H6</f>
        <v>163</v>
      </c>
      <c r="M7" s="105"/>
      <c r="N7" s="106">
        <f>'Data Entry'!I6</f>
        <v>0</v>
      </c>
      <c r="O7" s="105"/>
      <c r="P7" s="106">
        <f>'Data Entry'!J6</f>
        <v>200</v>
      </c>
      <c r="Q7" s="107"/>
    </row>
    <row r="8" spans="2:26" s="1" customFormat="1" ht="15" customHeight="1">
      <c r="B8" s="142" t="s">
        <v>8</v>
      </c>
      <c r="C8" s="103">
        <f>'Data Entry'!C7</f>
        <v>2</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2</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1</v>
      </c>
      <c r="M9" s="109" t="str">
        <f>'Am Indian'!G8</f>
        <v>**</v>
      </c>
      <c r="N9" s="110">
        <f>'Data Entry'!I8</f>
        <v>0</v>
      </c>
      <c r="O9" s="109" t="str">
        <f>'Other - Mixed'!G8</f>
        <v>*</v>
      </c>
      <c r="P9" s="110">
        <f>'Data Entry'!J8</f>
        <v>1</v>
      </c>
      <c r="Q9" s="111" t="str">
        <f>'All Minorities'!G8</f>
        <v>**</v>
      </c>
      <c r="R9"/>
      <c r="T9" s="1">
        <f>'Black or African-American'!L8</f>
        <v>40</v>
      </c>
      <c r="U9" s="1">
        <f>Hispanic!L8</f>
        <v>40</v>
      </c>
      <c r="V9" s="1">
        <f>Asian!L8</f>
        <v>139</v>
      </c>
      <c r="W9" s="1">
        <f>Hawaiian!L8</f>
        <v>139</v>
      </c>
      <c r="X9" s="1">
        <f>'Am Indian'!L8</f>
        <v>20</v>
      </c>
      <c r="Y9" s="1">
        <f>'Other - Mixed'!L8</f>
        <v>139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Baraga</v>
      </c>
    </row>
    <row r="6" spans="1:12">
      <c r="A6" s="135" t="str">
        <f>CONCATENATE("Percentage of Minorities at Stages of the Juvenile Justice System, ", A5, " 2022")</f>
        <v>Percentage of Minorities at Stages of the Juvenile Justice System, County: Baraga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2.41</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2.41</v>
      </c>
    </row>
    <row r="9" spans="1:12">
      <c r="A9" s="128" t="str">
        <f>CONCATENATE("Delinquent Findings, total N=", 'Data Entry'!B12)</f>
        <v>Delinquent Findings, total N=1</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v>
      </c>
      <c r="K9" s="96" t="str">
        <f t="shared" si="0"/>
        <v>Delinquent Findings, total N=1</v>
      </c>
      <c r="L9">
        <f>I14/(SUM(B14:G14))</f>
        <v>2.41</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2.41</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2.41</v>
      </c>
    </row>
    <row r="12" spans="1:12">
      <c r="A12" s="128" t="str">
        <f>CONCATENATE("Referrals, total N=", 'Data Entry'!B8)</f>
        <v>Referrals, total N=7</v>
      </c>
      <c r="B12" s="150">
        <f>'Data Entry'!D8/'Data Entry'!B8</f>
        <v>0</v>
      </c>
      <c r="C12" s="150">
        <f>'Data Entry'!E8/'Data Entry'!B8</f>
        <v>0</v>
      </c>
      <c r="D12" s="150">
        <f>'Data Entry'!F8/'Data Entry'!B8</f>
        <v>0</v>
      </c>
      <c r="E12" s="150">
        <f>'Data Entry'!G8/'Data Entry'!B8</f>
        <v>0</v>
      </c>
      <c r="F12" s="150">
        <f>'Data Entry'!H8/'Data Entry'!B8</f>
        <v>0.14285714285714285</v>
      </c>
      <c r="G12" s="150">
        <f>'Data Entry'!I8/'Data Entry'!B8</f>
        <v>0</v>
      </c>
      <c r="H12" s="150">
        <f>SUM(D12:G12)/'Data Entry'!B8</f>
        <v>2.0408163265306121E-2</v>
      </c>
      <c r="I12" s="150">
        <f>'Data Entry'!C8/'Data Entry'!B8</f>
        <v>0.2857142857142857</v>
      </c>
      <c r="K12" s="96" t="str">
        <f t="shared" si="0"/>
        <v>Referrals, total N=7</v>
      </c>
      <c r="L12">
        <f>I14/(SUM(B14:G14))</f>
        <v>2.41</v>
      </c>
    </row>
    <row r="13" spans="1:12">
      <c r="A13" s="128" t="str">
        <f>CONCATENATE("Arrests, total N=", 'Data Entry'!B7)</f>
        <v>Arrests, total N=2</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N=2</v>
      </c>
      <c r="L13">
        <f>I14/(SUM(B14:G14))</f>
        <v>2.41</v>
      </c>
    </row>
    <row r="14" spans="1:12">
      <c r="A14" s="128" t="str">
        <f>CONCATENATE("Population, total N=", 'Data Entry'!B6)</f>
        <v>Population, total N=682</v>
      </c>
      <c r="B14" s="150">
        <f>'Data Entry'!D6/'Data Entry'!B6</f>
        <v>2.1994134897360705E-2</v>
      </c>
      <c r="C14" s="150">
        <f>'Data Entry'!E6/'Data Entry'!B6</f>
        <v>2.4926686217008796E-2</v>
      </c>
      <c r="D14" s="150">
        <f>'Data Entry'!F6/'Data Entry'!B6</f>
        <v>7.331378299120235E-3</v>
      </c>
      <c r="E14" s="150">
        <f>'Data Entry'!G6/'Data Entry'!B6</f>
        <v>0</v>
      </c>
      <c r="F14" s="150">
        <f>'Data Entry'!H6/'Data Entry'!B6</f>
        <v>0.23900293255131966</v>
      </c>
      <c r="G14" s="150">
        <f>'Data Entry'!I6/'Data Entry'!B6</f>
        <v>0</v>
      </c>
      <c r="H14" s="150">
        <f>SUM(D14:G14)/'Data Entry'!B6</f>
        <v>3.6119400417953065E-4</v>
      </c>
      <c r="I14" s="150">
        <f>'Data Entry'!C6/'Data Entry'!B6</f>
        <v>0.70674486803519065</v>
      </c>
      <c r="K14" s="96" t="str">
        <f t="shared" si="0"/>
        <v>Population, total N=682</v>
      </c>
      <c r="L14">
        <f>I14/(SUM(B14:G14))</f>
        <v>2.41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Baraga</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482</v>
      </c>
      <c r="D7" s="104">
        <f>'Data Entry'!D6</f>
        <v>15</v>
      </c>
      <c r="E7" s="105"/>
      <c r="F7" s="106">
        <f>'Data Entry'!E6</f>
        <v>17</v>
      </c>
      <c r="G7" s="105"/>
      <c r="H7" s="106">
        <f>'Data Entry'!F6</f>
        <v>5</v>
      </c>
      <c r="I7" s="105"/>
      <c r="J7" s="106">
        <f>'Data Entry'!J6</f>
        <v>200</v>
      </c>
      <c r="K7" s="107"/>
    </row>
    <row r="8" spans="2:30" s="1" customFormat="1" ht="15" customHeight="1">
      <c r="B8" s="121" t="s">
        <v>8</v>
      </c>
      <c r="C8" s="103">
        <f>'Data Entry'!C7</f>
        <v>2</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2</v>
      </c>
      <c r="D9" s="108">
        <f>'Data Entry'!D8</f>
        <v>0</v>
      </c>
      <c r="E9" s="109" t="str">
        <f>'Black or African-American'!$G8</f>
        <v>**</v>
      </c>
      <c r="F9" s="110">
        <f>'Data Entry'!E8</f>
        <v>0</v>
      </c>
      <c r="G9" s="109" t="str">
        <f>Hispanic!G8</f>
        <v>**</v>
      </c>
      <c r="H9" s="110">
        <f>'Data Entry'!F8</f>
        <v>0</v>
      </c>
      <c r="I9" s="109" t="str">
        <f>Asian!G8</f>
        <v>*</v>
      </c>
      <c r="J9" s="110">
        <f>'Data Entry'!J8</f>
        <v>1</v>
      </c>
      <c r="K9" s="111" t="str">
        <f>'All Minorities'!G8</f>
        <v>**</v>
      </c>
      <c r="L9"/>
      <c r="N9" s="1">
        <f>'Black or African-American'!L8</f>
        <v>40</v>
      </c>
      <c r="O9" s="1">
        <f>Hispanic!L8</f>
        <v>40</v>
      </c>
      <c r="P9" s="1">
        <f>Asian!L8</f>
        <v>139</v>
      </c>
      <c r="Q9" s="1">
        <f>Hawaiian!L8</f>
        <v>139</v>
      </c>
      <c r="R9" s="1">
        <f>'Am Indian'!L8</f>
        <v>20</v>
      </c>
      <c r="S9" s="1">
        <f>'Other - Mixed'!L8</f>
        <v>139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Baraga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482</v>
      </c>
      <c r="D6" s="34"/>
      <c r="E6" s="33">
        <f>'Data Entry'!D6</f>
        <v>15</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4.1493775933609962</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15</v>
      </c>
      <c r="P7" s="42">
        <f t="shared" ref="P7:P15" si="2">C7</f>
        <v>2</v>
      </c>
      <c r="Q7" s="42">
        <f>C6-C7</f>
        <v>480</v>
      </c>
      <c r="R7" s="42">
        <f t="shared" ref="R7:R15" si="3">SUM(N7:Q7)</f>
        <v>497</v>
      </c>
      <c r="S7" s="30">
        <f t="shared" ref="S7:S15" si="4">R7*((((N7*Q7)-(O7*P7))^2))</f>
        <v>447300</v>
      </c>
      <c r="T7" s="30">
        <f t="shared" ref="T7:T15" si="5">(N7+O7)*(P7+Q7)*(N7+P7)*(O7+Q7)</f>
        <v>7157700</v>
      </c>
      <c r="U7" s="31">
        <f t="shared" ref="U7:U15" si="6">IF((S7&gt;0),S7/T7,"- -")</f>
        <v>6.2492141330315602E-2</v>
      </c>
    </row>
    <row r="8" spans="2:21" ht="18" customHeight="1">
      <c r="B8" s="32" t="str">
        <f>'Data Entry'!A8</f>
        <v>3. Refer to Juvenile Court</v>
      </c>
      <c r="C8" s="33">
        <f>'Data Entry'!C8</f>
        <v>2</v>
      </c>
      <c r="D8" s="34">
        <f>IF((AND(C67&gt;0,C8&gt;0)),(C8/C67),0)</f>
        <v>100</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2</v>
      </c>
      <c r="Q8" s="42">
        <f>(C$67*L67)-C8</f>
        <v>0</v>
      </c>
      <c r="R8" s="42">
        <f t="shared" si="3"/>
        <v>2.0499999999999998</v>
      </c>
      <c r="S8" s="30">
        <f t="shared" si="4"/>
        <v>2.0500000000000001E-2</v>
      </c>
      <c r="T8" s="30">
        <f t="shared" si="5"/>
        <v>1.0000000000000002E-2</v>
      </c>
      <c r="U8" s="31">
        <f t="shared" si="6"/>
        <v>2.0499999999999998</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2</v>
      </c>
      <c r="R9" s="42">
        <f t="shared" si="3"/>
        <v>2</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2</v>
      </c>
      <c r="R10" s="42">
        <f t="shared" si="3"/>
        <v>2</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2</v>
      </c>
      <c r="R11" s="42">
        <f t="shared" si="3"/>
        <v>2</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2</v>
      </c>
      <c r="R12" s="42">
        <f t="shared" si="3"/>
        <v>2</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2</v>
      </c>
      <c r="R13" s="42">
        <f t="shared" si="3"/>
        <v>2</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2</v>
      </c>
      <c r="R14" s="42">
        <f t="shared" si="3"/>
        <v>2</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2</v>
      </c>
      <c r="R15" s="42">
        <f t="shared" si="3"/>
        <v>2</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0.48199999999999998</v>
      </c>
      <c r="D42" s="56">
        <f>E6/1000</f>
        <v>1.4999999999999999E-2</v>
      </c>
      <c r="E42" s="56">
        <f>MAX(C42:D42)</f>
        <v>0.48199999999999998</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0.02</v>
      </c>
      <c r="D44" s="56">
        <f>E8/100</f>
        <v>0</v>
      </c>
      <c r="E44" s="56">
        <f>MAX(C44:D44,0)</f>
        <v>0.02</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0.48199999999999998</v>
      </c>
      <c r="D48" s="56">
        <f>D42</f>
        <v>1.4999999999999999E-2</v>
      </c>
      <c r="E48" s="56">
        <f>MAX(C48:D48)</f>
        <v>0.48199999999999998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0.48199999999999998</v>
      </c>
      <c r="D54" s="56">
        <f>D48</f>
        <v>1.4999999999999999E-2</v>
      </c>
      <c r="E54" s="56">
        <f>MAX(C54:D54)</f>
        <v>0.48199999999999998</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arrests</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0.48199999999999998</v>
      </c>
      <c r="D60" s="56">
        <f>D54</f>
        <v>1.4999999999999999E-2</v>
      </c>
      <c r="E60" s="56">
        <f>MAX(C60:D60)</f>
        <v>0.48199999999999998</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0.48199999999999998</v>
      </c>
      <c r="D66" s="56">
        <f>D60</f>
        <v>1.4999999999999999E-2</v>
      </c>
      <c r="E66" s="56">
        <f>MAX(C66:D66)</f>
        <v>0.48199999999999998</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Baraga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482</v>
      </c>
      <c r="D6" s="34"/>
      <c r="E6" s="33">
        <f>'Data Entry'!F6</f>
        <v>5</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4.1493775933609962</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5</v>
      </c>
      <c r="P7" s="42">
        <f t="shared" ref="P7:P15" si="4">C7</f>
        <v>2</v>
      </c>
      <c r="Q7" s="42">
        <f>C6-C7</f>
        <v>480</v>
      </c>
      <c r="R7" s="42">
        <f t="shared" ref="R7:R15" si="5">SUM(N7:Q7)</f>
        <v>487</v>
      </c>
      <c r="S7" s="30">
        <f t="shared" ref="S7:S15" si="6">R7*((((N7*Q7)-(O7*P7))^2))</f>
        <v>48700</v>
      </c>
      <c r="T7" s="30">
        <f t="shared" ref="T7:T15" si="7">(N7+O7)*(P7+Q7)*(N7+P7)*(O7+Q7)</f>
        <v>2337700</v>
      </c>
      <c r="U7" s="31">
        <f t="shared" ref="U7:U15" si="8">IF((S7&gt;0),S7/T7,"- -")</f>
        <v>2.0832442143987679E-2</v>
      </c>
    </row>
    <row r="8" spans="2:21" ht="18" customHeight="1">
      <c r="B8" s="32" t="str">
        <f>'Data Entry'!A8</f>
        <v>3. Refer to Juvenile Court</v>
      </c>
      <c r="C8" s="33">
        <f>'Data Entry'!C8</f>
        <v>2</v>
      </c>
      <c r="D8" s="34">
        <f>IF((AND(C67&gt;0,C8&gt;0)),(C8/C67),0)</f>
        <v>100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v>
      </c>
      <c r="Q8" s="42">
        <f>(C$67*L67)-C8</f>
        <v>0</v>
      </c>
      <c r="R8" s="42">
        <f t="shared" si="5"/>
        <v>2.0499999999999998</v>
      </c>
      <c r="S8" s="30">
        <f t="shared" si="6"/>
        <v>2.0500000000000001E-2</v>
      </c>
      <c r="T8" s="30">
        <f t="shared" si="7"/>
        <v>1.0000000000000002E-2</v>
      </c>
      <c r="U8" s="31">
        <f t="shared" si="8"/>
        <v>2.0499999999999998</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0.48199999999999998</v>
      </c>
      <c r="D42" s="56">
        <f>E6/1000</f>
        <v>5.0000000000000001E-3</v>
      </c>
      <c r="E42" s="56">
        <f>MAX(C42:D42)</f>
        <v>0.48199999999999998</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0.02</v>
      </c>
      <c r="D44" s="56">
        <f>E8/100</f>
        <v>0</v>
      </c>
      <c r="E44" s="56">
        <f>MAX(C44:D44,0)</f>
        <v>0.02</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0.48199999999999998</v>
      </c>
      <c r="D48" s="56">
        <f>D42</f>
        <v>5.0000000000000001E-3</v>
      </c>
      <c r="E48" s="56">
        <f>MAX(C48:D48)</f>
        <v>0.48199999999999998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0.48199999999999998</v>
      </c>
      <c r="D54" s="56">
        <f>D48</f>
        <v>5.0000000000000001E-3</v>
      </c>
      <c r="E54" s="56">
        <f>MAX(C54:D54)</f>
        <v>0.48199999999999998</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arrests</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0.48199999999999998</v>
      </c>
      <c r="D60" s="56">
        <f>D54</f>
        <v>5.0000000000000001E-3</v>
      </c>
      <c r="E60" s="56">
        <f>MAX(C60:D60)</f>
        <v>0.48199999999999998</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0.48199999999999998</v>
      </c>
      <c r="D66" s="56">
        <f>D60</f>
        <v>5.0000000000000001E-3</v>
      </c>
      <c r="E66" s="56">
        <f>MAX(C66:D66)</f>
        <v>0.48199999999999998</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Baraga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482</v>
      </c>
      <c r="D6" s="34"/>
      <c r="E6" s="33">
        <f>'Data Entry'!E6</f>
        <v>17</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4.1493775933609962</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17</v>
      </c>
      <c r="P7" s="42">
        <f t="shared" ref="P7:P15" si="4">C7</f>
        <v>2</v>
      </c>
      <c r="Q7" s="42">
        <f>C6-C7</f>
        <v>480</v>
      </c>
      <c r="R7" s="42">
        <f t="shared" ref="R7:R15" si="5">SUM(N7:Q7)</f>
        <v>499</v>
      </c>
      <c r="S7" s="30">
        <f t="shared" ref="S7:S15" si="6">R7*((((N7*Q7)-(O7*P7))^2))</f>
        <v>576844</v>
      </c>
      <c r="T7" s="30">
        <f t="shared" ref="T7:T15" si="7">(N7+O7)*(P7+Q7)*(N7+P7)*(O7+Q7)</f>
        <v>8144836</v>
      </c>
      <c r="U7" s="31">
        <f t="shared" ref="U7:U15" si="8">IF((S7&gt;0),S7/T7,"- -")</f>
        <v>7.0823279928533864E-2</v>
      </c>
    </row>
    <row r="8" spans="2:21" ht="18" customHeight="1">
      <c r="B8" s="32" t="str">
        <f>'Data Entry'!A8</f>
        <v>3. Refer to Juvenile Court</v>
      </c>
      <c r="C8" s="33">
        <f>'Data Entry'!C8</f>
        <v>2</v>
      </c>
      <c r="D8" s="34">
        <f>IF((AND(C67&gt;0,C8&gt;0)),(C8/C67),0)</f>
        <v>100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v>
      </c>
      <c r="Q8" s="42">
        <f>(C$67*L67)-C8</f>
        <v>0</v>
      </c>
      <c r="R8" s="42">
        <f t="shared" si="5"/>
        <v>2.0499999999999998</v>
      </c>
      <c r="S8" s="30">
        <f t="shared" si="6"/>
        <v>2.0500000000000001E-2</v>
      </c>
      <c r="T8" s="30">
        <f t="shared" si="7"/>
        <v>1.0000000000000002E-2</v>
      </c>
      <c r="U8" s="31">
        <f t="shared" si="8"/>
        <v>2.0499999999999998</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0.48199999999999998</v>
      </c>
      <c r="D42" s="56">
        <f>E6/1000</f>
        <v>1.7000000000000001E-2</v>
      </c>
      <c r="E42" s="56">
        <f>MAX(C42:D42)</f>
        <v>0.48199999999999998</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0.02</v>
      </c>
      <c r="D44" s="56">
        <f>E8/100</f>
        <v>0</v>
      </c>
      <c r="E44" s="56">
        <f>MAX(C44:D44,0)</f>
        <v>0.02</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0.48199999999999998</v>
      </c>
      <c r="D48" s="56">
        <f>D42</f>
        <v>1.7000000000000001E-2</v>
      </c>
      <c r="E48" s="56">
        <f>MAX(C48:D48)</f>
        <v>0.48199999999999998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0.48199999999999998</v>
      </c>
      <c r="D54" s="56">
        <f>D48</f>
        <v>1.7000000000000001E-2</v>
      </c>
      <c r="E54" s="56">
        <f>MAX(C54:D54)</f>
        <v>0.48199999999999998</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arrests</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0.48199999999999998</v>
      </c>
      <c r="D60" s="56">
        <f>D54</f>
        <v>1.7000000000000001E-2</v>
      </c>
      <c r="E60" s="56">
        <f>MAX(C60:D60)</f>
        <v>0.48199999999999998</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0.48199999999999998</v>
      </c>
      <c r="D66" s="56">
        <f>D60</f>
        <v>1.7000000000000001E-2</v>
      </c>
      <c r="E66" s="56">
        <f>MAX(C66:D66)</f>
        <v>0.48199999999999998</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Baraga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482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4.1493775933609962</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480</v>
      </c>
      <c r="R7" s="42">
        <f t="shared" ref="R7:R15" si="5">SUM(N7:Q7)</f>
        <v>482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v>
      </c>
      <c r="D8" s="34">
        <f>IF((AND(C67&gt;0,C8&gt;0)),(C8/C67),0)</f>
        <v>100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v>
      </c>
      <c r="Q8" s="42">
        <f>(C$67*L67)-C8</f>
        <v>0</v>
      </c>
      <c r="R8" s="42">
        <f t="shared" si="5"/>
        <v>2.0499999999999998</v>
      </c>
      <c r="S8" s="30">
        <f t="shared" si="6"/>
        <v>2.0500000000000001E-2</v>
      </c>
      <c r="T8" s="30">
        <f t="shared" si="7"/>
        <v>1.0000000000000002E-2</v>
      </c>
      <c r="U8" s="31">
        <f t="shared" si="8"/>
        <v>2.0499999999999998</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0.48199999999999998</v>
      </c>
      <c r="D42" s="56">
        <f>E6/1000</f>
        <v>0</v>
      </c>
      <c r="E42" s="56">
        <f>MAX(C42:D42)</f>
        <v>0.48199999999999998</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0.02</v>
      </c>
      <c r="D44" s="56">
        <f>E8/100</f>
        <v>0</v>
      </c>
      <c r="E44" s="56">
        <f>MAX(C44:D44,0)</f>
        <v>0.02</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0.48199999999999998</v>
      </c>
      <c r="D48" s="56">
        <f>D42</f>
        <v>0</v>
      </c>
      <c r="E48" s="56">
        <f>MAX(C48:D48)</f>
        <v>0.48199999999999998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0.48199999999999998</v>
      </c>
      <c r="D54" s="56">
        <f>D48</f>
        <v>0</v>
      </c>
      <c r="E54" s="56">
        <f>MAX(C54:D54)</f>
        <v>0.48199999999999998</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arrests</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0.48199999999999998</v>
      </c>
      <c r="D60" s="56">
        <f>D54</f>
        <v>0</v>
      </c>
      <c r="E60" s="56">
        <f>MAX(C60:D60)</f>
        <v>0.48199999999999998</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0.48199999999999998</v>
      </c>
      <c r="D66" s="56">
        <f>D60</f>
        <v>0</v>
      </c>
      <c r="E66" s="56">
        <f>MAX(C66:D66)</f>
        <v>0.48199999999999998</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Baraga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482</v>
      </c>
      <c r="D6" s="34"/>
      <c r="E6" s="33">
        <f>'Data Entry'!H6</f>
        <v>163</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4.1493775933609962</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163</v>
      </c>
      <c r="P7" s="42">
        <f t="shared" ref="P7:P15" si="4">C7</f>
        <v>2</v>
      </c>
      <c r="Q7" s="42">
        <f>C6-C7</f>
        <v>480</v>
      </c>
      <c r="R7" s="42">
        <f t="shared" ref="R7:R15" si="5">SUM(N7:Q7)</f>
        <v>645</v>
      </c>
      <c r="S7" s="30">
        <f t="shared" ref="S7:S15" si="6">R7*((((N7*Q7)-(O7*P7))^2))</f>
        <v>68548020</v>
      </c>
      <c r="T7" s="30">
        <f t="shared" ref="T7:T15" si="7">(N7+O7)*(P7+Q7)*(N7+P7)*(O7+Q7)</f>
        <v>101035876</v>
      </c>
      <c r="U7" s="31">
        <f t="shared" ref="U7:U15" si="8">IF((S7&gt;0),S7/T7,"- -")</f>
        <v>0.67845227570452304</v>
      </c>
    </row>
    <row r="8" spans="2:21" ht="18" customHeight="1">
      <c r="B8" s="32" t="str">
        <f>'Data Entry'!A8</f>
        <v>3. Refer to Juvenile Court</v>
      </c>
      <c r="C8" s="33">
        <f>'Data Entry'!C8</f>
        <v>2</v>
      </c>
      <c r="D8" s="34">
        <f>IF((AND(C67&gt;0,C8&gt;0)),(C8/C67),0)</f>
        <v>100</v>
      </c>
      <c r="E8" s="33">
        <f>'Data Entry'!H8</f>
        <v>1</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v>
      </c>
      <c r="O8" s="42">
        <f>((D67*L67)-E8)+0.05</f>
        <v>-0.95</v>
      </c>
      <c r="P8" s="42">
        <f t="shared" si="4"/>
        <v>2</v>
      </c>
      <c r="Q8" s="42">
        <f>(C$67*L67)-C8</f>
        <v>0</v>
      </c>
      <c r="R8" s="42">
        <f t="shared" si="5"/>
        <v>2.0499999999999998</v>
      </c>
      <c r="S8" s="30">
        <f t="shared" si="6"/>
        <v>7.4004999999999992</v>
      </c>
      <c r="T8" s="30">
        <f t="shared" si="7"/>
        <v>-0.28500000000000025</v>
      </c>
      <c r="U8" s="31">
        <f t="shared" si="8"/>
        <v>-25.96666666666664</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2</v>
      </c>
      <c r="R9" s="42">
        <f t="shared" si="5"/>
        <v>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2</v>
      </c>
      <c r="R10" s="42">
        <f t="shared" si="5"/>
        <v>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2</v>
      </c>
      <c r="R11" s="42">
        <f t="shared" si="5"/>
        <v>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2</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2</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2</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0.48199999999999998</v>
      </c>
      <c r="D42" s="56">
        <f>E6/1000</f>
        <v>0.16300000000000001</v>
      </c>
      <c r="E42" s="56">
        <f>MAX(C42:D42)</f>
        <v>0.48199999999999998</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0.02</v>
      </c>
      <c r="D44" s="56">
        <f>E8/100</f>
        <v>0.01</v>
      </c>
      <c r="E44" s="56">
        <f>MAX(C44:D44,0)</f>
        <v>0.02</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0.48199999999999998</v>
      </c>
      <c r="D48" s="56">
        <f>D42</f>
        <v>0.16300000000000001</v>
      </c>
      <c r="E48" s="56">
        <f>MAX(C48:D48)</f>
        <v>0.48199999999999998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0.02</v>
      </c>
      <c r="D50" s="49">
        <f t="shared" si="9"/>
        <v>0.01</v>
      </c>
      <c r="E50" s="49">
        <f>MAX(C50:D50)</f>
        <v>0.02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0.02</v>
      </c>
      <c r="D51" s="49">
        <f>IF(($E45&gt;0),D45,D44)</f>
        <v>0.01</v>
      </c>
      <c r="E51" s="49">
        <f>MAX(C51:D51)</f>
        <v>0.02</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0.48199999999999998</v>
      </c>
      <c r="D54" s="56">
        <f>D48</f>
        <v>0.16300000000000001</v>
      </c>
      <c r="E54" s="56">
        <f>MAX(C54:D54)</f>
        <v>0.48199999999999998</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0.02</v>
      </c>
      <c r="D56" s="49">
        <f t="shared" si="10"/>
        <v>0.01</v>
      </c>
      <c r="E56" s="49">
        <f>MAX(C56:D56)</f>
        <v>0.02</v>
      </c>
      <c r="G56" s="1" t="str">
        <f>G50</f>
        <v>per 100 referrals</v>
      </c>
      <c r="L56" s="58">
        <f>IF(($E50&gt;0),L50,L49)</f>
        <v>100</v>
      </c>
      <c r="M56" s="58"/>
    </row>
    <row r="57" spans="2:18" ht="15" hidden="1" customHeight="1">
      <c r="B57" s="49" t="str">
        <f>IF(($E51&gt;0),B51,B49)</f>
        <v>per 100 arrests</v>
      </c>
      <c r="C57" s="49">
        <f>IF(($E51&gt;0),C51,C50)</f>
        <v>0.02</v>
      </c>
      <c r="D57" s="49">
        <f>IF(($E51&gt;0),D51,D50)</f>
        <v>0.01</v>
      </c>
      <c r="E57" s="49">
        <f>MAX(C57:D57)</f>
        <v>0.02</v>
      </c>
      <c r="G57" s="1" t="str">
        <f>G51</f>
        <v>per 100 youth petitioned</v>
      </c>
      <c r="L57" s="58">
        <f>IF(($E51&gt;0),L51,L50)</f>
        <v>100</v>
      </c>
      <c r="M57" s="58"/>
    </row>
    <row r="58" spans="2:18" ht="15" hidden="1" customHeight="1">
      <c r="B58" s="49" t="str">
        <f>IF(($E52&gt;0),B52,B51)</f>
        <v>per 100 arrests</v>
      </c>
      <c r="C58" s="49">
        <f>IF(($E52&gt;0),C52,C51)</f>
        <v>0.02</v>
      </c>
      <c r="D58" s="49">
        <f>IF(($E52&gt;0),D52,D51)</f>
        <v>0.01</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0.48199999999999998</v>
      </c>
      <c r="D60" s="56">
        <f>D54</f>
        <v>0.16300000000000001</v>
      </c>
      <c r="E60" s="56">
        <f>MAX(C60:D60)</f>
        <v>0.48199999999999998</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0.02</v>
      </c>
      <c r="D62" s="49">
        <f t="shared" si="11"/>
        <v>0.01</v>
      </c>
      <c r="E62" s="49">
        <f>MAX(C62:D62)</f>
        <v>0.02</v>
      </c>
      <c r="G62" s="1" t="str">
        <f>G56</f>
        <v>per 100 referrals</v>
      </c>
      <c r="L62" s="58">
        <f>IF(($E56&gt;0),L56,L55)</f>
        <v>100</v>
      </c>
      <c r="M62" s="58"/>
    </row>
    <row r="63" spans="2:18" ht="15" hidden="1" customHeight="1">
      <c r="B63" s="49" t="str">
        <f>IF(($E57&gt;0),B57,B55)</f>
        <v>per 100 arrests</v>
      </c>
      <c r="C63" s="49">
        <f>IF(($E57&gt;0),C57,C56)</f>
        <v>0.02</v>
      </c>
      <c r="D63" s="49">
        <f>IF(($E57&gt;0),D57,D56)</f>
        <v>0.01</v>
      </c>
      <c r="E63" s="49">
        <f>MAX(C63:D63)</f>
        <v>0.02</v>
      </c>
      <c r="G63" s="1" t="str">
        <f>G57</f>
        <v>per 100 youth petitioned</v>
      </c>
      <c r="L63" s="58">
        <f>IF(($E57&gt;0),L57,L56)</f>
        <v>100</v>
      </c>
      <c r="M63" s="58"/>
    </row>
    <row r="64" spans="2:18" ht="15" hidden="1" customHeight="1">
      <c r="B64" s="49" t="str">
        <f>IF(($E58&gt;0),B58,B57)</f>
        <v>per 100 arrests</v>
      </c>
      <c r="C64" s="49">
        <f>IF(($E58&gt;0),C58,C57)</f>
        <v>0.02</v>
      </c>
      <c r="D64" s="49">
        <f>IF(($E58&gt;0),D58,D57)</f>
        <v>0.01</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0.48199999999999998</v>
      </c>
      <c r="D66" s="56">
        <f>D60</f>
        <v>0.16300000000000001</v>
      </c>
      <c r="E66" s="56">
        <f>MAX(C66:D66)</f>
        <v>0.48199999999999998</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0.02</v>
      </c>
      <c r="D68" s="49">
        <f t="shared" si="12"/>
        <v>0.01</v>
      </c>
      <c r="E68" s="49">
        <f>MAX(C68:D68)</f>
        <v>0.02</v>
      </c>
      <c r="G68" s="1" t="str">
        <f>G62</f>
        <v>per 100 referrals</v>
      </c>
      <c r="L68" s="58">
        <f>IF(($E62&gt;0),L62,L61)</f>
        <v>100</v>
      </c>
      <c r="M68" s="58">
        <f>IF((B68=G68),1,2)</f>
        <v>1</v>
      </c>
    </row>
    <row r="69" spans="2:13" ht="15" hidden="1" customHeight="1">
      <c r="B69" s="49" t="str">
        <f>IF(($E63&gt;0),B63,B61)</f>
        <v>per 100 arrests</v>
      </c>
      <c r="C69" s="49">
        <f>IF(($E63&gt;0),C63,C62)</f>
        <v>0.02</v>
      </c>
      <c r="D69" s="49">
        <f>IF(($E63&gt;0),D63,D62)</f>
        <v>0.01</v>
      </c>
      <c r="E69" s="49">
        <f>MAX(C69:D69)</f>
        <v>0.02</v>
      </c>
      <c r="G69" s="1" t="str">
        <f>G63</f>
        <v>per 100 youth petitioned</v>
      </c>
      <c r="L69" s="58">
        <f>IF(($E63&gt;0),L63,L62)</f>
        <v>100</v>
      </c>
      <c r="M69" s="58">
        <f>IF((B69=G69),1,2)</f>
        <v>2</v>
      </c>
    </row>
    <row r="70" spans="2:13" ht="15" hidden="1" customHeight="1">
      <c r="B70" s="49" t="str">
        <f>IF(($E64&gt;0),B64,B63)</f>
        <v>per 100 arrests</v>
      </c>
      <c r="C70" s="49">
        <f>IF(($E64&gt;0),C64,C63)</f>
        <v>0.02</v>
      </c>
      <c r="D70" s="49">
        <f>IF(($E64&gt;0),D64,D63)</f>
        <v>0.01</v>
      </c>
      <c r="E70" s="56">
        <f>MAX(C70:D70)</f>
        <v>0.02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U47JMPN4QEAR-1806752177-30435</_dlc_DocId>
    <_dlc_DocIdUrl xmlns="ac3811b5-0f3e-49e2-ba69-f2ffa0c782af">
      <Url>https://michiganphi.sharepoint.com/sites/CMDMC/_layouts/15/DocIdRedir.aspx?ID=U47JMPN4QEAR-1806752177-30435</Url>
      <Description>U47JMPN4QEAR-1806752177-30435</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E1D6F92-534B-46BD-84C1-378D808D59E5}"/>
</file>

<file path=customXml/itemProps2.xml><?xml version="1.0" encoding="utf-8"?>
<ds:datastoreItem xmlns:ds="http://schemas.openxmlformats.org/officeDocument/2006/customXml" ds:itemID="{9AC49789-A947-474A-9048-0A4B8A4B1057}">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70737F0E-9AE2-41AD-B7E6-41EB54F237CF}">
  <ds:schemaRefs>
    <ds:schemaRef ds:uri="http://schemas.microsoft.com/sharepoint/v3/contenttype/forms"/>
  </ds:schemaRefs>
</ds:datastoreItem>
</file>

<file path=customXml/itemProps4.xml><?xml version="1.0" encoding="utf-8"?>
<ds:datastoreItem xmlns:ds="http://schemas.openxmlformats.org/officeDocument/2006/customXml" ds:itemID="{D0B69394-C4AD-4F64-B69B-0D245F0DCA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b637c6e6-5f56-4131-bcc9-8531bc6ee913</vt:lpwstr>
  </property>
</Properties>
</file>