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646A7CA3-282E-456B-A5F8-71009C1BABBA}"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F27" i="5"/>
  <c r="M66" i="5"/>
  <c r="F27" i="2"/>
  <c r="M66" i="2"/>
  <c r="F27" i="4"/>
  <c r="M66" i="4"/>
  <c r="F27" i="6"/>
  <c r="M66" i="6"/>
  <c r="F27" i="3"/>
  <c r="M66" i="3"/>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4" i="6" l="1"/>
  <c r="E43" i="7"/>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E58" i="5"/>
  <c r="C56" i="2"/>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6" i="2"/>
  <c r="E58" i="7"/>
  <c r="D64" i="5" l="1"/>
  <c r="C64" i="5"/>
  <c r="B64" i="5"/>
  <c r="L64" i="5"/>
  <c r="C57" i="8"/>
  <c r="E58" i="8"/>
  <c r="L64" i="8" s="1"/>
  <c r="B56" i="8"/>
  <c r="L56" i="8"/>
  <c r="L64" i="3"/>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E64" i="5"/>
  <c r="D64" i="3"/>
  <c r="C64" i="6"/>
  <c r="E62" i="4"/>
  <c r="C68" i="4" s="1"/>
  <c r="B61" i="5"/>
  <c r="C61" i="5"/>
  <c r="E61" i="5" s="1"/>
  <c r="D67" i="5" s="1"/>
  <c r="E62" i="3"/>
  <c r="C68" i="3" s="1"/>
  <c r="B64" i="6"/>
  <c r="D63" i="7"/>
  <c r="B63" i="7"/>
  <c r="L63" i="7"/>
  <c r="E61" i="3"/>
  <c r="D67" i="3" s="1"/>
  <c r="C63" i="7"/>
  <c r="C63" i="3"/>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57" i="8" l="1"/>
  <c r="C63" i="8" s="1"/>
  <c r="B64" i="8"/>
  <c r="D64" i="8"/>
  <c r="C64" i="8"/>
  <c r="E64" i="8" s="1"/>
  <c r="L70" i="8" s="1"/>
  <c r="Q8" i="13"/>
  <c r="I7" i="9"/>
  <c r="B63" i="3"/>
  <c r="E64" i="6"/>
  <c r="B70" i="6" s="1"/>
  <c r="M70" i="6" s="1"/>
  <c r="Z8" i="13"/>
  <c r="R7" i="9"/>
  <c r="D63" i="3"/>
  <c r="E63" i="3" s="1"/>
  <c r="C69" i="3" s="1"/>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L63" i="8"/>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63" i="8" l="1"/>
  <c r="B63" i="8"/>
  <c r="L69" i="7"/>
  <c r="O12" i="7" s="1"/>
  <c r="C69" i="7"/>
  <c r="D12" i="7" s="1"/>
  <c r="L70" i="3"/>
  <c r="Q14" i="3" s="1"/>
  <c r="B70" i="3"/>
  <c r="M70" i="3" s="1"/>
  <c r="L70" i="6"/>
  <c r="D70" i="6"/>
  <c r="F13" i="6" s="1"/>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D69" i="3"/>
  <c r="E69" i="3" s="1"/>
  <c r="F29" i="4"/>
  <c r="F13" i="5"/>
  <c r="F13" i="4"/>
  <c r="F33" i="4"/>
  <c r="F10" i="4"/>
  <c r="O10" i="4"/>
  <c r="M67" i="5"/>
  <c r="O11" i="3"/>
  <c r="T11" i="3" s="1"/>
  <c r="O14" i="4"/>
  <c r="Q13" i="4"/>
  <c r="F30" i="3"/>
  <c r="D13" i="3"/>
  <c r="Q9" i="3"/>
  <c r="O10" i="3"/>
  <c r="E68" i="3"/>
  <c r="O9" i="3"/>
  <c r="F31" i="3"/>
  <c r="F29" i="3"/>
  <c r="D14" i="4"/>
  <c r="L70" i="7"/>
  <c r="O14" i="7" s="1"/>
  <c r="M69" i="7"/>
  <c r="B69" i="3"/>
  <c r="M69" i="3" s="1"/>
  <c r="C70" i="8"/>
  <c r="Q13" i="8" s="1"/>
  <c r="B70" i="8"/>
  <c r="M70" i="8" s="1"/>
  <c r="E64" i="2"/>
  <c r="L70" i="2" s="1"/>
  <c r="L67" i="6"/>
  <c r="F10" i="3"/>
  <c r="F11" i="3"/>
  <c r="D67" i="6"/>
  <c r="F8" i="6" s="1"/>
  <c r="Q13" i="3"/>
  <c r="L69" i="3"/>
  <c r="Q12" i="3" s="1"/>
  <c r="M70" i="5"/>
  <c r="E70" i="5"/>
  <c r="Q13" i="5"/>
  <c r="D13" i="5"/>
  <c r="Q14" i="5"/>
  <c r="D14" i="5"/>
  <c r="O13" i="5"/>
  <c r="O14" i="5"/>
  <c r="F35" i="7"/>
  <c r="F34" i="5"/>
  <c r="B70" i="7"/>
  <c r="F33" i="7" s="1"/>
  <c r="C70" i="7"/>
  <c r="D14" i="7" s="1"/>
  <c r="F14" i="7"/>
  <c r="E63" i="5"/>
  <c r="L69" i="5" s="1"/>
  <c r="Q12" i="7"/>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D15" i="7" l="1"/>
  <c r="Q15" i="7"/>
  <c r="E70" i="3"/>
  <c r="F34" i="3"/>
  <c r="F33" i="3"/>
  <c r="F12" i="7"/>
  <c r="E69" i="7"/>
  <c r="O15" i="7"/>
  <c r="T15" i="7" s="1"/>
  <c r="O13" i="6"/>
  <c r="F14" i="6"/>
  <c r="O13" i="3"/>
  <c r="T13" i="3" s="1"/>
  <c r="F14" i="3"/>
  <c r="D14" i="6"/>
  <c r="Q13" i="6"/>
  <c r="Q14" i="6"/>
  <c r="E70" i="6"/>
  <c r="O14" i="6"/>
  <c r="B69" i="6"/>
  <c r="M69" i="6" s="1"/>
  <c r="C69" i="6"/>
  <c r="D12" i="6" s="1"/>
  <c r="O14" i="3"/>
  <c r="R14" i="3" s="1"/>
  <c r="S14" i="3" s="1"/>
  <c r="U14" i="3" s="1"/>
  <c r="J14" i="3" s="1"/>
  <c r="M14" i="3" s="1"/>
  <c r="G14" i="3" s="1"/>
  <c r="I15" i="16" s="1"/>
  <c r="D69" i="6"/>
  <c r="F12" i="6" s="1"/>
  <c r="T10" i="3"/>
  <c r="K10" i="4"/>
  <c r="F8" i="7"/>
  <c r="T9" i="4"/>
  <c r="T11" i="4"/>
  <c r="K11" i="4"/>
  <c r="R10" i="4"/>
  <c r="S10" i="4" s="1"/>
  <c r="U10" i="4" s="1"/>
  <c r="J10" i="4" s="1"/>
  <c r="M10" i="4" s="1"/>
  <c r="G10" i="4" s="1"/>
  <c r="G11" i="16"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U13" i="4" s="1"/>
  <c r="J13" i="4" s="1"/>
  <c r="K9" i="4"/>
  <c r="R9" i="4"/>
  <c r="S9" i="4" s="1"/>
  <c r="U9" i="4" s="1"/>
  <c r="J9" i="4" s="1"/>
  <c r="M9" i="4" s="1"/>
  <c r="G9" i="4" s="1"/>
  <c r="G10" i="16" s="1"/>
  <c r="F32" i="2"/>
  <c r="O13" i="8"/>
  <c r="R13" i="8" s="1"/>
  <c r="S13" i="8" s="1"/>
  <c r="U13" i="8" s="1"/>
  <c r="J13" i="8" s="1"/>
  <c r="M13" i="8" s="1"/>
  <c r="G13" i="8" s="1"/>
  <c r="K14" i="16" s="1"/>
  <c r="D15" i="6"/>
  <c r="R10" i="3"/>
  <c r="S10" i="3" s="1"/>
  <c r="U10" i="3" s="1"/>
  <c r="J10" i="3" s="1"/>
  <c r="M10" i="3" s="1"/>
  <c r="G10" i="3" s="1"/>
  <c r="I11" i="16" s="1"/>
  <c r="F8" i="2"/>
  <c r="O14" i="8"/>
  <c r="F14" i="8"/>
  <c r="T14" i="4"/>
  <c r="B70" i="2"/>
  <c r="F33" i="2" s="1"/>
  <c r="F35" i="3"/>
  <c r="D69" i="5"/>
  <c r="O15" i="5" s="1"/>
  <c r="F32" i="3"/>
  <c r="R13" i="3"/>
  <c r="S13" i="3" s="1"/>
  <c r="U13" i="3" s="1"/>
  <c r="J13" i="3" s="1"/>
  <c r="T13" i="5"/>
  <c r="F34" i="7"/>
  <c r="M70" i="7"/>
  <c r="O13" i="7"/>
  <c r="K11" i="3"/>
  <c r="R11" i="3"/>
  <c r="S11" i="3" s="1"/>
  <c r="U11" i="3" s="1"/>
  <c r="J11" i="3" s="1"/>
  <c r="M11" i="3" s="1"/>
  <c r="G11" i="3" s="1"/>
  <c r="L68" i="7"/>
  <c r="Q9" i="7" s="1"/>
  <c r="C69" i="5"/>
  <c r="Q12" i="5" s="1"/>
  <c r="B69" i="5"/>
  <c r="F32" i="5" s="1"/>
  <c r="D68" i="7"/>
  <c r="E68" i="7" s="1"/>
  <c r="K12" i="7"/>
  <c r="B68" i="7"/>
  <c r="F31" i="7" s="1"/>
  <c r="T12" i="7"/>
  <c r="K9" i="3"/>
  <c r="K10" i="3"/>
  <c r="R14" i="4"/>
  <c r="S14" i="4" s="1"/>
  <c r="U14" i="4" s="1"/>
  <c r="J14" i="4" s="1"/>
  <c r="D13" i="7"/>
  <c r="K13" i="3"/>
  <c r="O12" i="3"/>
  <c r="R12" i="3" s="1"/>
  <c r="S12" i="3" s="1"/>
  <c r="R9" i="3"/>
  <c r="S9" i="3" s="1"/>
  <c r="Q14" i="8"/>
  <c r="T9" i="3"/>
  <c r="F34" i="8"/>
  <c r="R14" i="5"/>
  <c r="S14" i="5" s="1"/>
  <c r="U14" i="5" s="1"/>
  <c r="J14" i="5" s="1"/>
  <c r="M14" i="5" s="1"/>
  <c r="F33" i="8"/>
  <c r="C70" i="2"/>
  <c r="D14" i="2" s="1"/>
  <c r="T14" i="5"/>
  <c r="D13" i="8"/>
  <c r="O15" i="3"/>
  <c r="K14" i="5"/>
  <c r="Q15" i="3"/>
  <c r="R12" i="7"/>
  <c r="S12" i="7" s="1"/>
  <c r="U12" i="7" s="1"/>
  <c r="J12" i="7" s="1"/>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3" i="6" l="1"/>
  <c r="K15" i="7"/>
  <c r="K13" i="6"/>
  <c r="F35" i="6"/>
  <c r="R15" i="7"/>
  <c r="S15" i="7" s="1"/>
  <c r="U15" i="7" s="1"/>
  <c r="J15" i="7" s="1"/>
  <c r="L15" i="7" s="1"/>
  <c r="S16" i="16" s="1"/>
  <c r="T13" i="8"/>
  <c r="R13" i="6"/>
  <c r="S13" i="6" s="1"/>
  <c r="U13" i="6" s="1"/>
  <c r="J13" i="6" s="1"/>
  <c r="M13" i="6" s="1"/>
  <c r="G13" i="6" s="1"/>
  <c r="G13" i="9" s="1"/>
  <c r="O12" i="6"/>
  <c r="F32" i="6"/>
  <c r="R14" i="6"/>
  <c r="S14" i="6" s="1"/>
  <c r="U14" i="6" s="1"/>
  <c r="J14" i="6" s="1"/>
  <c r="M14" i="6" s="1"/>
  <c r="G14" i="6" s="1"/>
  <c r="M15" i="13" s="1"/>
  <c r="K14" i="6"/>
  <c r="Q12" i="6"/>
  <c r="Q15" i="6"/>
  <c r="T14" i="6"/>
  <c r="K14" i="3"/>
  <c r="L14" i="3" s="1"/>
  <c r="P15" i="16" s="1"/>
  <c r="T14" i="3"/>
  <c r="R14" i="8"/>
  <c r="S14" i="8" s="1"/>
  <c r="E69" i="6"/>
  <c r="O15" i="6"/>
  <c r="F15" i="6"/>
  <c r="L13" i="4"/>
  <c r="O14" i="16" s="1"/>
  <c r="L11" i="4"/>
  <c r="O12" i="16" s="1"/>
  <c r="K8" i="7"/>
  <c r="O13" i="2"/>
  <c r="O12" i="8"/>
  <c r="F35" i="8"/>
  <c r="T8" i="7"/>
  <c r="U8" i="7" s="1"/>
  <c r="J8" i="7" s="1"/>
  <c r="M8" i="7" s="1"/>
  <c r="T13" i="7"/>
  <c r="Q12" i="8"/>
  <c r="F32" i="8"/>
  <c r="Q10" i="7"/>
  <c r="F13" i="2"/>
  <c r="Q11" i="7"/>
  <c r="L12" i="7"/>
  <c r="S13" i="16" s="1"/>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M13" i="4"/>
  <c r="G13" i="4" s="1"/>
  <c r="G14" i="16" s="1"/>
  <c r="M12" i="7"/>
  <c r="L9" i="4"/>
  <c r="O10" i="16" s="1"/>
  <c r="R13" i="7"/>
  <c r="S13" i="7" s="1"/>
  <c r="U13" i="7" s="1"/>
  <c r="J13" i="7" s="1"/>
  <c r="M13" i="7" s="1"/>
  <c r="Q13" i="2"/>
  <c r="L13" i="3"/>
  <c r="P14" i="16" s="1"/>
  <c r="U9" i="3"/>
  <c r="J9" i="3" s="1"/>
  <c r="L9" i="3" s="1"/>
  <c r="K15" i="3"/>
  <c r="T15" i="3"/>
  <c r="Q14" i="13"/>
  <c r="N30" i="5"/>
  <c r="L14" i="5"/>
  <c r="Q15" i="16" s="1"/>
  <c r="I13" i="9"/>
  <c r="L13" i="5"/>
  <c r="Q14" i="16" s="1"/>
  <c r="L10" i="4"/>
  <c r="O11" i="16" s="1"/>
  <c r="K13" i="7"/>
  <c r="T8" i="2"/>
  <c r="U8" i="2" s="1"/>
  <c r="J8" i="2" s="1"/>
  <c r="M11" i="4"/>
  <c r="G11" i="4" s="1"/>
  <c r="T14" i="7"/>
  <c r="U14" i="7" s="1"/>
  <c r="J14" i="7" s="1"/>
  <c r="K14" i="7"/>
  <c r="N30" i="3"/>
  <c r="M13" i="3"/>
  <c r="G13" i="3" s="1"/>
  <c r="D10" i="9"/>
  <c r="G11" i="13"/>
  <c r="E10" i="9"/>
  <c r="I11" i="13"/>
  <c r="D9" i="9"/>
  <c r="G10"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M15" i="7" l="1"/>
  <c r="T12" i="6"/>
  <c r="L13" i="6"/>
  <c r="R14" i="16" s="1"/>
  <c r="M14" i="13"/>
  <c r="K12" i="6"/>
  <c r="R12" i="6"/>
  <c r="S12" i="6" s="1"/>
  <c r="U12" i="6" s="1"/>
  <c r="J12" i="6" s="1"/>
  <c r="L12" i="6" s="1"/>
  <c r="R13" i="16" s="1"/>
  <c r="T15" i="6"/>
  <c r="K15" i="6"/>
  <c r="R15" i="6"/>
  <c r="S15" i="6" s="1"/>
  <c r="U15" i="6" s="1"/>
  <c r="J15" i="6" s="1"/>
  <c r="U14" i="8"/>
  <c r="J14" i="8" s="1"/>
  <c r="N30" i="8"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P13" i="9"/>
  <c r="K9" i="7"/>
  <c r="T14" i="2"/>
  <c r="V12" i="13"/>
  <c r="U10" i="13"/>
  <c r="N11" i="9"/>
  <c r="T15" i="5"/>
  <c r="W14" i="13"/>
  <c r="N13" i="9"/>
  <c r="L15" i="3"/>
  <c r="P16" i="16" s="1"/>
  <c r="N14" i="9"/>
  <c r="L13" i="7"/>
  <c r="S14" i="16" s="1"/>
  <c r="M9" i="3"/>
  <c r="G9" i="3" s="1"/>
  <c r="I10" i="13" s="1"/>
  <c r="I14" i="13"/>
  <c r="I14" i="16"/>
  <c r="G12" i="13"/>
  <c r="G12" i="16"/>
  <c r="N9" i="9"/>
  <c r="P10" i="16"/>
  <c r="M14" i="7"/>
  <c r="N30" i="7"/>
  <c r="L14" i="7"/>
  <c r="S15" i="16" s="1"/>
  <c r="L8" i="7"/>
  <c r="S9" i="16" s="1"/>
  <c r="O13" i="9"/>
  <c r="V14" i="13"/>
  <c r="M9" i="9"/>
  <c r="M10" i="9"/>
  <c r="O14" i="9"/>
  <c r="V10" i="13"/>
  <c r="Z14" i="13"/>
  <c r="V15" i="13"/>
  <c r="W15" i="13"/>
  <c r="U12" i="2"/>
  <c r="J12" i="2" s="1"/>
  <c r="L12" i="2" s="1"/>
  <c r="N13" i="16" s="1"/>
  <c r="R13" i="9"/>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X14" i="13" l="1"/>
  <c r="M12" i="6"/>
  <c r="G12" i="6" s="1"/>
  <c r="G12" i="9" s="1"/>
  <c r="L15" i="6"/>
  <c r="R16" i="16" s="1"/>
  <c r="M15" i="6"/>
  <c r="G15" i="6" s="1"/>
  <c r="M16" i="13" s="1"/>
  <c r="L14" i="8"/>
  <c r="T15" i="16" s="1"/>
  <c r="M14" i="8"/>
  <c r="G14" i="8" s="1"/>
  <c r="K15" i="16" s="1"/>
  <c r="L8" i="6"/>
  <c r="R9" i="16" s="1"/>
  <c r="L10" i="7"/>
  <c r="S11" i="16" s="1"/>
  <c r="X16" i="13"/>
  <c r="L15" i="5"/>
  <c r="Q16" i="16" s="1"/>
  <c r="T9" i="13"/>
  <c r="L8" i="9"/>
  <c r="X15" i="13"/>
  <c r="P14" i="9"/>
  <c r="G8" i="9"/>
  <c r="Q14" i="9"/>
  <c r="Y15" i="13"/>
  <c r="Y14" i="13"/>
  <c r="E9" i="13"/>
  <c r="Q13" i="9"/>
  <c r="L10" i="2"/>
  <c r="N11" i="16" s="1"/>
  <c r="M10" i="7"/>
  <c r="L11" i="6"/>
  <c r="R12" i="16" s="1"/>
  <c r="V16" i="13"/>
  <c r="N15" i="9"/>
  <c r="I10" i="16"/>
  <c r="C8" i="9"/>
  <c r="E9" i="9"/>
  <c r="M13" i="13"/>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G15" i="9" l="1"/>
  <c r="Z15" i="13"/>
  <c r="P15" i="9"/>
  <c r="R14" i="9"/>
  <c r="Q15" i="13"/>
  <c r="I14"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<sst xmlns="http://schemas.openxmlformats.org/spreadsheetml/2006/main" count="654" uniqueCount="141">
  <si>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</si>
  <si>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</si>
  <si>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</si>
  <si>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</si>
  <si>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</si>
  <si>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</si>
  <si>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</si>
  <si>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</si>
  <si>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</si>
  <si>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</si>
  <si>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</si>
  <si>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</si>
  <si>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</si>
  <si>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</si>
  <si>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</si>
  <si>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</si>
  <si>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</si>
  <si>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</si>
  <si>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</si>
  <si>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</si>
  <si>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</si>
  <si>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</si>
  <si>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</si>
  <si>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</si>
  <si>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</si>
  <si>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</si>
  <si>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</si>
  <si>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</si>
  <si>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</si>
  <si>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</si>
  <si>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</si>
  <si>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</si>
  <si>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</si>
  <si>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</si>
  <si>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</si>
  <si>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</si>
  <si>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</si>
  <si>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</si>
  <si>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</si>
  <si>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</si>
  <si>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</si>
  <si>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</si>
  <si>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</si>
  <si>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</si>
  <si>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</si>
  <si>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</si>
  <si>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</si>
  <si>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</si>
  <si>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</si>
  <si>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</si>
  <si>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</si>
  <si>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</si>
  <si>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</si>
  <si>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</si>
  <si>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</si>
  <si>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</si>
  <si>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</si>
  <si>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</si>
  <si>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</si>
  <si>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</si>
  <si>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</si>
  <si>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</si>
  <si>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</si>
  <si>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</si>
  <si>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</si>
  <si>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</si>
  <si>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</si>
  <si>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</si>
  <si>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</si>
  <si>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</si>
  <si>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</si>
  <si>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</si>
  <si>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</si>
  <si>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</si>
  <si>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</si>
  <si>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</si>
  <si>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</si>
  <si>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</si>
  <si>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</si>
  <si>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</si>
  <si>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</si>
  <si>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</si>
  <si>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</si>
  <si>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</si>
  <si>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</si>
  <si>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</si>
  <si>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</si>
  <si>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</si>
  <si>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</si>
  <si>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</si>
  <si>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</si>
  <si>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</si>
  <si>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</si>
  <si>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</si>
  <si>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</si>
  <si>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</si>
  <si>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</si>
  <si>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</si>
  <si>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</si>
  <si>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</si>
  <si>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</si>
  <si>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</si>
  <si>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</si>
  <si>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</si>
  <si>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</si>
  <si>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</si>
  <si>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</si>
  <si>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</si>
  <si>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</si>
  <si>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</si>
  <si>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</si>
  <si>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</si>
  <si>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</si>
  <si>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</si>
  <si>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</si>
  <si>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</si>
  <si>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</si>
  <si>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</si>
  <si>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</si>
  <si>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</si>
  <si>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</si>
  <si>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</si>
  <si>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</si>
  <si>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</si>
  <si>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</si>
  <si>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</si>
  <si>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</si>
  <si>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</si>
  <si>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</si>
  <si>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</si>
  <si>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</si>
  <si>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</si>
  <si>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</si>
  <si>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</si>
  <si>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</si>
  <si>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</si>
  <si>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</si>
  <si>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Baraga</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</si>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</sst>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Baraga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c:v>
                </c:pt>
                <c:pt idx="3">
                  <c:v>Petitions, total N=0</c:v>
                </c:pt>
                <c:pt idx="4">
                  <c:v>Detentions, total N=0</c:v>
                </c:pt>
                <c:pt idx="5">
                  <c:v>Referrals, total N=6</c:v>
                </c:pt>
                <c:pt idx="6">
                  <c:v>Arrests, total N=3</c:v>
                </c:pt>
                <c:pt idx="7">
                  <c:v>Population, total N=592</c:v>
                </c:pt>
              </c:strCache>
            </c:strRef>
          </c:cat>
          <c:val>
            <c:numRef>
              <c:f>'Stacked 100%'!$B$7:$B$14</c:f>
              <c:numCache>
                <c:formatCode>0%</c:formatCode>
                <c:ptCount val="8"/>
                <c:pt idx="0">
                  <c:v>0</c:v>
                </c:pt>
                <c:pt idx="1">
                  <c:v>0</c:v>
                </c:pt>
                <c:pt idx="2">
                  <c:v>0</c:v>
                </c:pt>
                <c:pt idx="3">
                  <c:v>0</c:v>
                </c:pt>
                <c:pt idx="4">
                  <c:v>0</c:v>
                </c:pt>
                <c:pt idx="5">
                  <c:v>0</c:v>
                </c:pt>
                <c:pt idx="6">
                  <c:v>0</c:v>
                </c:pt>
                <c:pt idx="7">
                  <c:v>2.0270270270270271E-2</c:v>
                </c:pt>
              </c:numCache>
            </c:numRef>
          </c:val>
          <c:extLst>
            <c:ext xmlns:c16="http://schemas.microsoft.com/office/drawing/2014/chart" uri="{C3380CC4-5D6E-409C-BE32-E72D297353CC}">
              <c16:uniqueId val="{00000000-C07D-4F1D-982F-F26466934648}"/>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c:v>
                </c:pt>
                <c:pt idx="3">
                  <c:v>Petitions, total N=0</c:v>
                </c:pt>
                <c:pt idx="4">
                  <c:v>Detentions, total N=0</c:v>
                </c:pt>
                <c:pt idx="5">
                  <c:v>Referrals, total N=6</c:v>
                </c:pt>
                <c:pt idx="6">
                  <c:v>Arrests, total N=3</c:v>
                </c:pt>
                <c:pt idx="7">
                  <c:v>Population, total N=592</c:v>
                </c:pt>
              </c:strCache>
            </c:strRef>
          </c:cat>
          <c:val>
            <c:numRef>
              <c:f>'Stacked 100%'!$C$7:$C$14</c:f>
              <c:numCache>
                <c:formatCode>0%</c:formatCode>
                <c:ptCount val="8"/>
                <c:pt idx="0">
                  <c:v>0</c:v>
                </c:pt>
                <c:pt idx="1">
                  <c:v>0</c:v>
                </c:pt>
                <c:pt idx="2">
                  <c:v>0</c:v>
                </c:pt>
                <c:pt idx="3">
                  <c:v>0</c:v>
                </c:pt>
                <c:pt idx="4">
                  <c:v>0</c:v>
                </c:pt>
                <c:pt idx="5">
                  <c:v>0</c:v>
                </c:pt>
                <c:pt idx="6">
                  <c:v>0</c:v>
                </c:pt>
                <c:pt idx="7">
                  <c:v>2.5337837837837839E-2</c:v>
                </c:pt>
              </c:numCache>
            </c:numRef>
          </c:val>
          <c:extLst>
            <c:ext xmlns:c16="http://schemas.microsoft.com/office/drawing/2014/chart" uri="{C3380CC4-5D6E-409C-BE32-E72D297353CC}">
              <c16:uniqueId val="{00000001-C07D-4F1D-982F-F26466934648}"/>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N=1</c:v>
                </c:pt>
                <c:pt idx="3">
                  <c:v>Petitions, total N=0</c:v>
                </c:pt>
                <c:pt idx="4">
                  <c:v>Detentions, total N=0</c:v>
                </c:pt>
                <c:pt idx="5">
                  <c:v>Referrals, total N=6</c:v>
                </c:pt>
                <c:pt idx="6">
                  <c:v>Arrests, total N=3</c:v>
                </c:pt>
                <c:pt idx="7">
                  <c:v>Population, total N=592</c:v>
                </c:pt>
              </c:strCache>
            </c:strRef>
          </c:cat>
          <c:val>
            <c:numRef>
              <c:f>'Stacked 100%'!$H$7:$H$14</c:f>
              <c:numCache>
                <c:formatCode>0%</c:formatCode>
                <c:ptCount val="8"/>
                <c:pt idx="0">
                  <c:v>0</c:v>
                </c:pt>
                <c:pt idx="1">
                  <c:v>0</c:v>
                </c:pt>
                <c:pt idx="2">
                  <c:v>0</c:v>
                </c:pt>
                <c:pt idx="3">
                  <c:v>0</c:v>
                </c:pt>
                <c:pt idx="4">
                  <c:v>0</c:v>
                </c:pt>
                <c:pt idx="5">
                  <c:v>0</c:v>
                </c:pt>
                <c:pt idx="6">
                  <c:v>0</c:v>
                </c:pt>
                <c:pt idx="7">
                  <c:v>4.2229729729729732E-4</c:v>
                </c:pt>
              </c:numCache>
            </c:numRef>
          </c:val>
          <c:extLst>
            <c:ext xmlns:c16="http://schemas.microsoft.com/office/drawing/2014/chart" uri="{C3380CC4-5D6E-409C-BE32-E72D297353CC}">
              <c16:uniqueId val="{00000002-C07D-4F1D-982F-F26466934648}"/>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c:v>
                </c:pt>
                <c:pt idx="3">
                  <c:v>Petitions, total N=0</c:v>
                </c:pt>
                <c:pt idx="4">
                  <c:v>Detentions, total N=0</c:v>
                </c:pt>
                <c:pt idx="5">
                  <c:v>Referrals, total N=6</c:v>
                </c:pt>
                <c:pt idx="6">
                  <c:v>Arrests, total N=3</c:v>
                </c:pt>
                <c:pt idx="7">
                  <c:v>Population, total N=592</c:v>
                </c:pt>
              </c:strCache>
            </c:strRef>
          </c:cat>
          <c:val>
            <c:numRef>
              <c:f>'Stacked 100%'!$I$7:$I$14</c:f>
              <c:numCache>
                <c:formatCode>0%</c:formatCode>
                <c:ptCount val="8"/>
                <c:pt idx="0">
                  <c:v>0</c:v>
                </c:pt>
                <c:pt idx="1">
                  <c:v>0</c:v>
                </c:pt>
                <c:pt idx="2">
                  <c:v>1</c:v>
                </c:pt>
                <c:pt idx="3">
                  <c:v>0</c:v>
                </c:pt>
                <c:pt idx="4">
                  <c:v>0</c:v>
                </c:pt>
                <c:pt idx="5">
                  <c:v>0.33333333333333331</c:v>
                </c:pt>
                <c:pt idx="6">
                  <c:v>1</c:v>
                </c:pt>
                <c:pt idx="7">
                  <c:v>0.70439189189189189</c:v>
                </c:pt>
              </c:numCache>
            </c:numRef>
          </c:val>
          <c:extLst>
            <c:ext xmlns:c16="http://schemas.microsoft.com/office/drawing/2014/chart" uri="{C3380CC4-5D6E-409C-BE32-E72D297353CC}">
              <c16:uniqueId val="{00000003-C07D-4F1D-982F-F26466934648}"/>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N=1</c:v>
                </c:pt>
                <c:pt idx="3">
                  <c:v>Petitions, total N=0</c:v>
                </c:pt>
                <c:pt idx="4">
                  <c:v>Detentions, total N=0</c:v>
                </c:pt>
                <c:pt idx="5">
                  <c:v>Referrals, total N=6</c:v>
                </c:pt>
                <c:pt idx="6">
                  <c:v>Arrests, total N=3</c:v>
                </c:pt>
                <c:pt idx="7">
                  <c:v>Population, total N=592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07D-4F1D-982F-F26466934648}"/>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6" sqref="K16"/>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0" t="s">
        <v>1</v>
      </c>
      <c r="C1" s="170"/>
      <c r="D1" s="170"/>
      <c r="E1" s="170"/>
      <c r="F1" s="170"/>
      <c r="G1" s="170"/>
      <c r="H1" s="170"/>
    </row>
    <row r="2" spans="1:11" ht="15" customHeight="1" x14ac:dyDescent="0.25">
      <c r="A2" s="3" t="s">
        <v>122</v>
      </c>
      <c r="B2" s="4"/>
      <c r="C2" s="4"/>
      <c r="D2" s="4"/>
      <c r="E2" s="4"/>
      <c r="F2" s="4"/>
    </row>
    <row r="3" spans="1:11" ht="15" customHeight="1" x14ac:dyDescent="0.25">
      <c r="A3" s="136" t="s">
        <v>137</v>
      </c>
      <c r="B3" s="4"/>
      <c r="C3" s="5" t="s">
        <v>107</v>
      </c>
      <c r="D3" s="6"/>
      <c r="E3" s="6"/>
      <c r="F3" s="6"/>
      <c r="G3" s="7"/>
      <c r="H3" s="7"/>
    </row>
    <row r="4" spans="1:11" ht="15" customHeight="1" x14ac:dyDescent="0.25">
      <c r="A4" s="4"/>
      <c r="B4" s="4"/>
      <c r="C4" s="171" t="s">
        <v>140</v>
      </c>
      <c r="D4" s="171"/>
      <c r="E4" s="171"/>
      <c r="F4" s="171"/>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592</v>
      </c>
      <c r="C6" s="11">
        <v>417</v>
      </c>
      <c r="D6" s="11">
        <v>12</v>
      </c>
      <c r="E6" s="11">
        <v>15</v>
      </c>
      <c r="F6" s="11">
        <v>3</v>
      </c>
      <c r="G6" s="11"/>
      <c r="H6" s="11">
        <v>145</v>
      </c>
      <c r="I6" s="11"/>
      <c r="J6" s="91">
        <f>SUM(D6:I6)</f>
        <v>175</v>
      </c>
      <c r="K6" s="92"/>
    </row>
    <row r="7" spans="1:11" ht="15.75" customHeight="1" thickBot="1" x14ac:dyDescent="0.25">
      <c r="A7" s="10" t="s">
        <v>8</v>
      </c>
      <c r="B7" s="11">
        <f t="shared" ref="B7:B15" si="0">SUM(C7:I7)+K7</f>
        <v>3</v>
      </c>
      <c r="C7" s="11">
        <v>3</v>
      </c>
      <c r="D7" s="11">
        <v>0</v>
      </c>
      <c r="E7" s="11">
        <v>0</v>
      </c>
      <c r="F7" s="11">
        <v>0</v>
      </c>
      <c r="G7" s="11">
        <v>0</v>
      </c>
      <c r="H7" s="11">
        <v>0</v>
      </c>
      <c r="I7" s="11">
        <v>0</v>
      </c>
      <c r="J7" s="91">
        <f t="shared" ref="J7:J15" si="1">SUM(D7:I7)</f>
        <v>0</v>
      </c>
      <c r="K7" s="92"/>
    </row>
    <row r="8" spans="1:11" ht="15.75" customHeight="1" thickBot="1" x14ac:dyDescent="0.25">
      <c r="A8" s="10" t="s">
        <v>9</v>
      </c>
      <c r="B8" s="11">
        <f t="shared" si="0"/>
        <v>6</v>
      </c>
      <c r="C8" s="11">
        <v>2</v>
      </c>
      <c r="D8" s="11">
        <v>0</v>
      </c>
      <c r="E8" s="11">
        <v>0</v>
      </c>
      <c r="F8" s="11">
        <v>0</v>
      </c>
      <c r="G8" s="11">
        <v>0</v>
      </c>
      <c r="H8" s="11">
        <v>0</v>
      </c>
      <c r="I8" s="11">
        <v>0</v>
      </c>
      <c r="J8" s="91">
        <f t="shared" si="1"/>
        <v>0</v>
      </c>
      <c r="K8" s="92">
        <v>4</v>
      </c>
    </row>
    <row r="9" spans="1:11" ht="15.75" customHeight="1" thickBot="1" x14ac:dyDescent="0.25">
      <c r="A9" s="10" t="s">
        <v>10</v>
      </c>
      <c r="B9" s="11">
        <f t="shared" si="0"/>
        <v>0</v>
      </c>
      <c r="C9" s="11">
        <v>0</v>
      </c>
      <c r="D9" s="11">
        <v>0</v>
      </c>
      <c r="E9" s="11">
        <v>0</v>
      </c>
      <c r="F9" s="11">
        <v>0</v>
      </c>
      <c r="G9" s="11">
        <v>0</v>
      </c>
      <c r="H9" s="11">
        <v>0</v>
      </c>
      <c r="I9" s="11">
        <v>0</v>
      </c>
      <c r="J9" s="91">
        <f t="shared" si="1"/>
        <v>0</v>
      </c>
      <c r="K9" s="92">
        <v>0</v>
      </c>
    </row>
    <row r="10" spans="1:11" ht="15.75" customHeight="1" thickBot="1" x14ac:dyDescent="0.25">
      <c r="A10" s="10" t="s">
        <v>11</v>
      </c>
      <c r="B10" s="11">
        <f t="shared" si="0"/>
        <v>0</v>
      </c>
      <c r="C10" s="11">
        <v>0</v>
      </c>
      <c r="D10" s="11">
        <v>0</v>
      </c>
      <c r="E10" s="11">
        <v>0</v>
      </c>
      <c r="F10" s="11">
        <v>0</v>
      </c>
      <c r="G10" s="11">
        <v>0</v>
      </c>
      <c r="H10" s="11">
        <v>0</v>
      </c>
      <c r="I10" s="11">
        <v>0</v>
      </c>
      <c r="J10" s="91">
        <f t="shared" si="1"/>
        <v>0</v>
      </c>
      <c r="K10" s="92">
        <v>0</v>
      </c>
    </row>
    <row r="11" spans="1:11" ht="15.75" customHeight="1" thickBot="1" x14ac:dyDescent="0.25">
      <c r="A11" s="10" t="s">
        <v>12</v>
      </c>
      <c r="B11" s="11">
        <f t="shared" si="0"/>
        <v>0</v>
      </c>
      <c r="C11" s="11">
        <v>0</v>
      </c>
      <c r="D11" s="11">
        <v>0</v>
      </c>
      <c r="E11" s="11">
        <v>0</v>
      </c>
      <c r="F11" s="11">
        <v>0</v>
      </c>
      <c r="G11" s="11">
        <v>0</v>
      </c>
      <c r="H11" s="11">
        <v>0</v>
      </c>
      <c r="I11" s="11">
        <v>0</v>
      </c>
      <c r="J11" s="91">
        <f t="shared" si="1"/>
        <v>0</v>
      </c>
      <c r="K11" s="92">
        <v>0</v>
      </c>
    </row>
    <row r="12" spans="1:11" ht="15.75" customHeight="1" thickBot="1" x14ac:dyDescent="0.25">
      <c r="A12" s="10" t="s">
        <v>13</v>
      </c>
      <c r="B12" s="11">
        <f t="shared" si="0"/>
        <v>1</v>
      </c>
      <c r="C12" s="11">
        <v>1</v>
      </c>
      <c r="D12" s="11">
        <v>0</v>
      </c>
      <c r="E12" s="11">
        <v>0</v>
      </c>
      <c r="F12" s="11">
        <v>0</v>
      </c>
      <c r="G12" s="11">
        <v>0</v>
      </c>
      <c r="H12" s="11">
        <v>0</v>
      </c>
      <c r="I12" s="11">
        <v>0</v>
      </c>
      <c r="J12" s="91">
        <f t="shared" si="1"/>
        <v>0</v>
      </c>
      <c r="K12" s="92">
        <v>0</v>
      </c>
    </row>
    <row r="13" spans="1:11" ht="15.75" customHeight="1" thickBot="1" x14ac:dyDescent="0.25">
      <c r="A13" s="10" t="s">
        <v>133</v>
      </c>
      <c r="B13" s="11">
        <f t="shared" si="0"/>
        <v>0</v>
      </c>
      <c r="C13" s="11">
        <v>0</v>
      </c>
      <c r="D13" s="11">
        <v>0</v>
      </c>
      <c r="E13" s="11">
        <v>0</v>
      </c>
      <c r="F13" s="11">
        <v>0</v>
      </c>
      <c r="G13" s="11">
        <v>0</v>
      </c>
      <c r="H13" s="11">
        <v>0</v>
      </c>
      <c r="I13" s="11">
        <v>0</v>
      </c>
      <c r="J13" s="91">
        <f t="shared" si="1"/>
        <v>0</v>
      </c>
      <c r="K13" s="92">
        <v>0</v>
      </c>
    </row>
    <row r="14" spans="1:11" ht="26.25" customHeight="1" thickBot="1" x14ac:dyDescent="0.25">
      <c r="A14" s="10" t="s">
        <v>123</v>
      </c>
      <c r="B14" s="11">
        <f t="shared" si="0"/>
        <v>0</v>
      </c>
      <c r="C14" s="11">
        <v>0</v>
      </c>
      <c r="D14" s="11">
        <v>0</v>
      </c>
      <c r="E14" s="11">
        <v>0</v>
      </c>
      <c r="F14" s="11">
        <v>0</v>
      </c>
      <c r="G14" s="11">
        <v>0</v>
      </c>
      <c r="H14" s="11">
        <v>0</v>
      </c>
      <c r="I14" s="11">
        <v>0</v>
      </c>
      <c r="J14" s="91">
        <f t="shared" si="1"/>
        <v>0</v>
      </c>
      <c r="K14" s="92">
        <v>0</v>
      </c>
    </row>
    <row r="15" spans="1:11" ht="15.75" customHeight="1" thickBot="1" x14ac:dyDescent="0.25">
      <c r="A15" s="10" t="s">
        <v>16</v>
      </c>
      <c r="B15" s="11">
        <f t="shared" si="0"/>
        <v>0</v>
      </c>
      <c r="C15" s="11">
        <v>0</v>
      </c>
      <c r="D15" s="11">
        <v>0</v>
      </c>
      <c r="E15" s="11">
        <v>0</v>
      </c>
      <c r="F15" s="11">
        <v>0</v>
      </c>
      <c r="G15" s="11">
        <v>0</v>
      </c>
      <c r="H15" s="11">
        <v>0</v>
      </c>
      <c r="I15" s="11">
        <v>0</v>
      </c>
      <c r="J15" s="91">
        <f t="shared" si="1"/>
        <v>0</v>
      </c>
      <c r="K15" s="92">
        <v>0</v>
      </c>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69" t="s">
        <v>138</v>
      </c>
      <c r="B19" s="169"/>
      <c r="C19" s="8"/>
      <c r="D19" s="169" t="s">
        <v>139</v>
      </c>
      <c r="E19" s="169"/>
      <c r="F19" s="169"/>
      <c r="G19" s="169"/>
      <c r="H19" s="169"/>
      <c r="I19" s="169"/>
    </row>
    <row r="20" spans="1:9" ht="15" customHeight="1" x14ac:dyDescent="0.25">
      <c r="A20" s="169" t="s">
        <v>108</v>
      </c>
      <c r="B20" s="169"/>
      <c r="C20" s="8"/>
      <c r="D20" s="169" t="s">
        <v>109</v>
      </c>
      <c r="E20" s="169"/>
      <c r="F20" s="169"/>
      <c r="G20" s="169"/>
      <c r="H20" s="169"/>
      <c r="I20" s="169"/>
    </row>
    <row r="21" spans="1:9" ht="15" customHeight="1" x14ac:dyDescent="0.25">
      <c r="A21" s="169" t="s">
        <v>110</v>
      </c>
      <c r="B21" s="169"/>
      <c r="C21" s="8"/>
      <c r="D21" s="169" t="s">
        <v>111</v>
      </c>
      <c r="E21" s="169"/>
      <c r="F21" s="169"/>
      <c r="G21" s="169"/>
      <c r="H21" s="169"/>
      <c r="I21" s="169"/>
    </row>
    <row r="22" spans="1:9" ht="15" customHeight="1" x14ac:dyDescent="0.25">
      <c r="A22" s="169" t="s">
        <v>112</v>
      </c>
      <c r="B22" s="169"/>
      <c r="C22" s="8"/>
      <c r="D22" s="169" t="s">
        <v>113</v>
      </c>
      <c r="E22" s="169"/>
      <c r="F22" s="169"/>
      <c r="G22" s="169"/>
      <c r="H22" s="169"/>
      <c r="I22" s="169"/>
    </row>
    <row r="23" spans="1:9" ht="15" customHeight="1" x14ac:dyDescent="0.25">
      <c r="A23" s="169" t="s">
        <v>114</v>
      </c>
      <c r="B23" s="169"/>
      <c r="C23" s="8"/>
      <c r="D23" s="169" t="s">
        <v>115</v>
      </c>
      <c r="E23" s="169"/>
      <c r="F23" s="169"/>
      <c r="G23" s="169"/>
      <c r="H23" s="169"/>
      <c r="I23" s="169"/>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Entry'!I5</f>
        <v>Biracial or Other</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Baraga</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417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v>
      </c>
      <c r="D7" s="34">
        <f>IF((AND(C66&gt;0,C7&gt;0)),(C7/C66),0)</f>
        <v>7.1942446043165473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v>
      </c>
      <c r="Q7" s="42">
        <f>C6-C7</f>
        <v>414</v>
      </c>
      <c r="R7" s="42">
        <f t="shared" ref="R7:R15" si="5">SUM(N7:Q7)</f>
        <v>417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2</v>
      </c>
      <c r="D8" s="34">
        <f>IF((AND(C67&gt;0,C8&gt;0)),(C8/C67),0)</f>
        <v>66.666666666666671</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v>
      </c>
      <c r="Q8" s="42">
        <f>(C$67*L67)-C8</f>
        <v>1</v>
      </c>
      <c r="R8" s="42">
        <f t="shared" si="5"/>
        <v>3.05</v>
      </c>
      <c r="S8" s="30">
        <f t="shared" si="6"/>
        <v>3.0500000000000003E-2</v>
      </c>
      <c r="T8" s="30">
        <f t="shared" si="7"/>
        <v>0.31500000000000006</v>
      </c>
      <c r="U8" s="31">
        <f t="shared" si="8"/>
        <v>9.6825396825396814E-2</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1</v>
      </c>
      <c r="D12" s="34">
        <f>IF(((AND(C69&gt;0,C12&gt;0))),(C12/(C69)),0)</f>
        <v>50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1</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0.41699999999999998</v>
      </c>
      <c r="D42" s="56">
        <f>E6/1000</f>
        <v>0</v>
      </c>
      <c r="E42" s="56">
        <f>MAX(C42:D42)</f>
        <v>0.41699999999999998</v>
      </c>
      <c r="G42" s="1" t="str">
        <f>B42</f>
        <v>per 1000 youth</v>
      </c>
      <c r="L42" s="57">
        <v>1000</v>
      </c>
      <c r="M42" s="57"/>
      <c r="R42" s="49"/>
    </row>
    <row r="43" spans="2:18" ht="15" hidden="1" customHeight="1" x14ac:dyDescent="0.25">
      <c r="B43" s="49" t="s">
        <v>87</v>
      </c>
      <c r="C43" s="56">
        <f>C7/100</f>
        <v>0.03</v>
      </c>
      <c r="D43" s="56">
        <f>E7/100</f>
        <v>0</v>
      </c>
      <c r="E43" s="56">
        <f>MAX(C43:D43,0)</f>
        <v>0.03</v>
      </c>
      <c r="G43" s="1" t="str">
        <f>B43</f>
        <v>per 100 arrests</v>
      </c>
      <c r="L43" s="57">
        <v>100</v>
      </c>
      <c r="M43" s="57"/>
      <c r="R43" s="49"/>
    </row>
    <row r="44" spans="2:18" ht="15" hidden="1" customHeight="1" x14ac:dyDescent="0.25">
      <c r="B44" s="49" t="s">
        <v>88</v>
      </c>
      <c r="C44" s="56">
        <f>C8/100</f>
        <v>0.02</v>
      </c>
      <c r="D44" s="56">
        <f>E8/100</f>
        <v>0</v>
      </c>
      <c r="E44" s="56">
        <f>MAX(C44:D44,0)</f>
        <v>0.02</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0.01</v>
      </c>
      <c r="D46" s="49">
        <f>E12/100</f>
        <v>0</v>
      </c>
      <c r="E46" s="56">
        <f>MAX(C46:D46)</f>
        <v>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0.41699999999999998</v>
      </c>
      <c r="D48" s="56">
        <f>D42</f>
        <v>0</v>
      </c>
      <c r="E48" s="56">
        <f>MAX(C48:D48)</f>
        <v>0.41699999999999998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0.02</v>
      </c>
      <c r="D51" s="49">
        <f>IF(($E45&gt;0),D45,D44)</f>
        <v>0</v>
      </c>
      <c r="E51" s="49">
        <f>MAX(C51:D51)</f>
        <v>0.02</v>
      </c>
      <c r="G51" s="1" t="str">
        <f>G45</f>
        <v>per 100 youth petitioned</v>
      </c>
      <c r="L51" s="58">
        <f>IF(($E45&gt;0),L45,L44)</f>
        <v>100</v>
      </c>
      <c r="M51" s="58"/>
    </row>
    <row r="52" spans="2:18" ht="15" hidden="1" customHeight="1" x14ac:dyDescent="0.25">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0.41699999999999998</v>
      </c>
      <c r="D54" s="56">
        <f>D48</f>
        <v>0</v>
      </c>
      <c r="E54" s="56">
        <f>MAX(C54:D54)</f>
        <v>0.41699999999999998</v>
      </c>
      <c r="G54" s="1" t="str">
        <f>G48</f>
        <v>per 1000 youth</v>
      </c>
      <c r="L54" s="58">
        <f>L48</f>
        <v>1000</v>
      </c>
      <c r="M54" s="58"/>
    </row>
    <row r="55" spans="2:18" ht="15" hidden="1" customHeight="1" x14ac:dyDescent="0.25">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x14ac:dyDescent="0.25">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0.41699999999999998</v>
      </c>
      <c r="D60" s="56">
        <f>D54</f>
        <v>0</v>
      </c>
      <c r="E60" s="56">
        <f>MAX(C60:D60)</f>
        <v>0.41699999999999998</v>
      </c>
      <c r="G60" s="1" t="str">
        <f>G54</f>
        <v>per 1000 youth</v>
      </c>
      <c r="L60" s="58">
        <f>L54</f>
        <v>1000</v>
      </c>
      <c r="M60" s="58"/>
    </row>
    <row r="61" spans="2:18" ht="15" hidden="1" customHeight="1" x14ac:dyDescent="0.25">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x14ac:dyDescent="0.25">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0.41699999999999998</v>
      </c>
      <c r="D66" s="56">
        <f>D60</f>
        <v>0</v>
      </c>
      <c r="E66" s="56">
        <f>MAX(C66:D66)</f>
        <v>0.41699999999999998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x14ac:dyDescent="0.25">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Entry'!J5</f>
        <v>All Minorities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Baraga</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417</v>
      </c>
      <c r="D6" s="34"/>
      <c r="E6" s="33">
        <f>'Data Entry'!J6</f>
        <v>175</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v>
      </c>
      <c r="D7" s="34">
        <f>IF((AND(C66&gt;0,C7&gt;0)),(C7/C66),0)</f>
        <v>7.1942446043165473</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175</v>
      </c>
      <c r="P7" s="42">
        <f t="shared" ref="P7:P15" si="4">C7</f>
        <v>3</v>
      </c>
      <c r="Q7" s="42">
        <f>C6-C7</f>
        <v>414</v>
      </c>
      <c r="R7" s="42">
        <f t="shared" ref="R7:R15" si="5">SUM(N7:Q7)</f>
        <v>592</v>
      </c>
      <c r="S7" s="30">
        <f t="shared" ref="S7:S15" si="6">R7*((((N7*Q7)-(O7*P7))^2))</f>
        <v>163170000</v>
      </c>
      <c r="T7" s="30">
        <f t="shared" ref="T7:T15" si="7">(N7+O7)*(P7+Q7)*(N7+P7)*(O7+Q7)</f>
        <v>128946825</v>
      </c>
      <c r="U7" s="31">
        <f t="shared" ref="U7:U15" si="8">IF((S7&gt;0),S7/T7,"- -")</f>
        <v>1.2654053327796166</v>
      </c>
    </row>
    <row r="8" spans="2:21" ht="18" customHeight="1" x14ac:dyDescent="0.25">
      <c r="B8" s="32" t="str">
        <f>'Data Entry'!A8</f>
        <v>3. Refer to Juvenile Court</v>
      </c>
      <c r="C8" s="33">
        <f>'Data Entry'!C8</f>
        <v>2</v>
      </c>
      <c r="D8" s="34">
        <f>IF((AND(C67&gt;0,C8&gt;0)),(C8/C67),0)</f>
        <v>66.666666666666671</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v>
      </c>
      <c r="Q8" s="42">
        <f>(C$67*L67)-C8</f>
        <v>1</v>
      </c>
      <c r="R8" s="42">
        <f t="shared" si="5"/>
        <v>3.05</v>
      </c>
      <c r="S8" s="30">
        <f t="shared" si="6"/>
        <v>3.0500000000000003E-2</v>
      </c>
      <c r="T8" s="30">
        <f t="shared" si="7"/>
        <v>0.31500000000000006</v>
      </c>
      <c r="U8" s="31">
        <f t="shared" si="8"/>
        <v>9.6825396825396814E-2</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1</v>
      </c>
      <c r="D12" s="34">
        <f>IF(((AND(C69&gt;0,C12&gt;0))),(C12/(C69)),0)</f>
        <v>50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1</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0.41699999999999998</v>
      </c>
      <c r="D42" s="56">
        <f>E6/1000</f>
        <v>0.17499999999999999</v>
      </c>
      <c r="E42" s="56">
        <f>MAX(C42:D42)</f>
        <v>0.41699999999999998</v>
      </c>
      <c r="G42" s="1" t="str">
        <f>B42</f>
        <v>per 1000 youth</v>
      </c>
      <c r="L42" s="57">
        <v>1000</v>
      </c>
      <c r="M42" s="57"/>
      <c r="R42" s="49"/>
    </row>
    <row r="43" spans="2:18" ht="15" hidden="1" customHeight="1" x14ac:dyDescent="0.25">
      <c r="B43" s="49" t="s">
        <v>87</v>
      </c>
      <c r="C43" s="56">
        <f>C7/100</f>
        <v>0.03</v>
      </c>
      <c r="D43" s="56">
        <f>E7/100</f>
        <v>0</v>
      </c>
      <c r="E43" s="56">
        <f>MAX(C43:D43,0)</f>
        <v>0.03</v>
      </c>
      <c r="G43" s="1" t="str">
        <f>B43</f>
        <v>per 100 arrests</v>
      </c>
      <c r="L43" s="57">
        <v>100</v>
      </c>
      <c r="M43" s="57"/>
      <c r="R43" s="49"/>
    </row>
    <row r="44" spans="2:18" ht="15" hidden="1" customHeight="1" x14ac:dyDescent="0.25">
      <c r="B44" s="49" t="s">
        <v>88</v>
      </c>
      <c r="C44" s="56">
        <f>C8/100</f>
        <v>0.02</v>
      </c>
      <c r="D44" s="56">
        <f>E8/100</f>
        <v>0</v>
      </c>
      <c r="E44" s="56">
        <f>MAX(C44:D44,0)</f>
        <v>0.02</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0.01</v>
      </c>
      <c r="D46" s="49">
        <f>E12/100</f>
        <v>0</v>
      </c>
      <c r="E46" s="56">
        <f>MAX(C46:D46)</f>
        <v>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0.41699999999999998</v>
      </c>
      <c r="D48" s="56">
        <f>D42</f>
        <v>0.17499999999999999</v>
      </c>
      <c r="E48" s="56">
        <f>MAX(C48:D48)</f>
        <v>0.41699999999999998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0.02</v>
      </c>
      <c r="D51" s="49">
        <f>IF(($E45&gt;0),D45,D44)</f>
        <v>0</v>
      </c>
      <c r="E51" s="49">
        <f>MAX(C51:D51)</f>
        <v>0.02</v>
      </c>
      <c r="G51" s="1" t="str">
        <f>G45</f>
        <v>per 100 youth petitioned</v>
      </c>
      <c r="L51" s="58">
        <f>IF(($E45&gt;0),L45,L44)</f>
        <v>100</v>
      </c>
      <c r="M51" s="58"/>
    </row>
    <row r="52" spans="2:18" ht="15" hidden="1" customHeight="1" x14ac:dyDescent="0.25">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0.41699999999999998</v>
      </c>
      <c r="D54" s="56">
        <f>D48</f>
        <v>0.17499999999999999</v>
      </c>
      <c r="E54" s="56">
        <f>MAX(C54:D54)</f>
        <v>0.41699999999999998</v>
      </c>
      <c r="G54" s="1" t="str">
        <f>G48</f>
        <v>per 1000 youth</v>
      </c>
      <c r="L54" s="58">
        <f>L48</f>
        <v>1000</v>
      </c>
      <c r="M54" s="58"/>
    </row>
    <row r="55" spans="2:18" ht="15" hidden="1" customHeight="1" x14ac:dyDescent="0.25">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x14ac:dyDescent="0.25">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0.41699999999999998</v>
      </c>
      <c r="D60" s="56">
        <f>D54</f>
        <v>0.17499999999999999</v>
      </c>
      <c r="E60" s="56">
        <f>MAX(C60:D60)</f>
        <v>0.41699999999999998</v>
      </c>
      <c r="G60" s="1" t="str">
        <f>G54</f>
        <v>per 1000 youth</v>
      </c>
      <c r="L60" s="58">
        <f>L54</f>
        <v>1000</v>
      </c>
      <c r="M60" s="58"/>
    </row>
    <row r="61" spans="2:18" ht="15" hidden="1" customHeight="1" x14ac:dyDescent="0.25">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x14ac:dyDescent="0.25">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0.41699999999999998</v>
      </c>
      <c r="D66" s="56">
        <f>D60</f>
        <v>0.17499999999999999</v>
      </c>
      <c r="E66" s="56">
        <f>MAX(C66:D66)</f>
        <v>0.41699999999999998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x14ac:dyDescent="0.25">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Baraga</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40</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592</v>
      </c>
      <c r="D3" s="57">
        <f>'Data Entry'!C6</f>
        <v>417</v>
      </c>
      <c r="E3" s="57">
        <f>'Data Entry'!D6</f>
        <v>12</v>
      </c>
      <c r="F3" s="57">
        <f>'Data Entry'!E6</f>
        <v>15</v>
      </c>
      <c r="G3" s="57">
        <f>'Data Entry'!F6</f>
        <v>3</v>
      </c>
      <c r="H3" s="57">
        <f>'Data Entry'!G6</f>
        <v>0</v>
      </c>
      <c r="I3" s="57">
        <f>'Data Entry'!H6</f>
        <v>145</v>
      </c>
      <c r="J3" s="57">
        <f>'Data Entry'!I6</f>
        <v>0</v>
      </c>
      <c r="K3" s="57">
        <f>'Data Entry'!J6</f>
        <v>175</v>
      </c>
    </row>
    <row r="4" spans="2:11" ht="15" customHeight="1" x14ac:dyDescent="0.25">
      <c r="B4" s="16" t="s">
        <v>8</v>
      </c>
      <c r="C4" s="1">
        <f>IF((C$3&gt;0),(1000*('Data Entry'!B7/'Data Entry'!B$6)), 0)</f>
        <v>5.0675675675675675</v>
      </c>
      <c r="D4" s="1">
        <f>IF((D$3&gt;0),(1000*('Data Entry'!C7/'Data Entry'!C$6)), 0)</f>
        <v>7.1942446043165473</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10.135135135135135</v>
      </c>
      <c r="D5" s="1">
        <f>IF((D$3&gt;0),(1000*('Data Entry'!C8/'Data Entry'!C$6)), 0)</f>
        <v>4.796163069544364</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1.6891891891891893</v>
      </c>
      <c r="D9" s="1">
        <f>IF((D$3&gt;0),(1000*('Data Entry'!C12/'Data Entry'!C$6)), 0)</f>
        <v>2.398081534772182</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13" t="s">
        <v>98</v>
      </c>
      <c r="C14" s="214"/>
      <c r="D14" s="214"/>
      <c r="E14" s="214"/>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Baraga</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16" t="s">
        <v>100</v>
      </c>
      <c r="B4" s="216"/>
      <c r="C4" s="216"/>
      <c r="D4" s="216"/>
      <c r="E4" s="216"/>
      <c r="F4" s="216"/>
      <c r="G4" s="216"/>
      <c r="H4" s="216"/>
      <c r="I4" s="216"/>
      <c r="J4" s="216"/>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15" t="s">
        <v>104</v>
      </c>
      <c r="B10" s="215"/>
      <c r="C10" s="215"/>
      <c r="D10" s="215"/>
      <c r="E10" s="215"/>
      <c r="F10" s="215"/>
      <c r="G10" s="215"/>
      <c r="H10" s="215"/>
      <c r="I10" s="215"/>
      <c r="J10" s="215"/>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2" t="s">
        <v>121</v>
      </c>
      <c r="C2" s="173"/>
      <c r="D2" s="173"/>
      <c r="E2" s="173"/>
      <c r="F2" s="173"/>
      <c r="G2" s="173"/>
      <c r="H2" s="173"/>
      <c r="I2" s="173"/>
      <c r="J2" s="173"/>
      <c r="K2" s="173"/>
      <c r="L2" s="173"/>
      <c r="M2" s="173"/>
      <c r="N2" s="173"/>
      <c r="O2" s="173"/>
      <c r="P2" s="173"/>
      <c r="Q2" s="174"/>
    </row>
    <row r="3" spans="2:26" s="1" customFormat="1" ht="19.5" thickTop="1" x14ac:dyDescent="0.35">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x14ac:dyDescent="0.4">
      <c r="B4" s="101" t="str">
        <f>'Data Entry'!A3</f>
        <v>County: Baraga</v>
      </c>
      <c r="C4" s="102"/>
      <c r="D4" s="102"/>
      <c r="E4" s="102"/>
      <c r="F4" s="102"/>
      <c r="G4" s="102"/>
      <c r="H4" s="102"/>
      <c r="I4" s="102"/>
      <c r="J4" s="102"/>
      <c r="K4" s="102"/>
      <c r="L4" s="102"/>
      <c r="M4" s="102"/>
      <c r="N4" s="177" t="str">
        <f>'Data Entry'!C4</f>
        <v>10/1/20 through 9/30/21</v>
      </c>
      <c r="O4" s="178"/>
      <c r="P4" s="178"/>
      <c r="Q4" s="179"/>
      <c r="R4"/>
    </row>
    <row r="5" spans="2:26" s="8" customFormat="1" ht="71.25" customHeight="1" x14ac:dyDescent="0.35">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x14ac:dyDescent="0.35">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x14ac:dyDescent="0.3">
      <c r="B7" s="143" t="str">
        <f>'Data Entry'!A6</f>
        <v xml:space="preserve">1. Population at Risk (age 10 through 16) </v>
      </c>
      <c r="C7" s="103">
        <f>'Data Entry'!C6</f>
        <v>417</v>
      </c>
      <c r="D7" s="104">
        <f>'Data Entry'!D6</f>
        <v>12</v>
      </c>
      <c r="E7" s="105"/>
      <c r="F7" s="106">
        <f>'Data Entry'!E6</f>
        <v>15</v>
      </c>
      <c r="G7" s="105"/>
      <c r="H7" s="106">
        <f>'Data Entry'!F6</f>
        <v>3</v>
      </c>
      <c r="I7" s="105"/>
      <c r="J7" s="106">
        <f>'Data Entry'!G6</f>
        <v>0</v>
      </c>
      <c r="K7" s="105"/>
      <c r="L7" s="106">
        <f>'Data Entry'!H6</f>
        <v>145</v>
      </c>
      <c r="M7" s="105"/>
      <c r="N7" s="106">
        <f>'Data Entry'!I6</f>
        <v>0</v>
      </c>
      <c r="O7" s="105"/>
      <c r="P7" s="106">
        <f>'Data Entry'!J6</f>
        <v>175</v>
      </c>
      <c r="Q7" s="107"/>
    </row>
    <row r="8" spans="2:26" s="1" customFormat="1" ht="15" customHeight="1" x14ac:dyDescent="0.3">
      <c r="B8" s="142" t="s">
        <v>8</v>
      </c>
      <c r="C8" s="103">
        <f>'Data Entry'!C7</f>
        <v>3</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x14ac:dyDescent="0.3">
      <c r="B9" s="142" t="s">
        <v>134</v>
      </c>
      <c r="C9" s="103">
        <f>'Data Entry'!C8</f>
        <v>2</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f>'Black or African-American'!L8</f>
        <v>40</v>
      </c>
      <c r="U9" s="1">
        <f>Hispanic!L8</f>
        <v>40</v>
      </c>
      <c r="V9" s="1">
        <f>Asian!L8</f>
        <v>139</v>
      </c>
      <c r="W9" s="1">
        <f>Hawaiian!L8</f>
        <v>139</v>
      </c>
      <c r="X9" s="1">
        <f>'Am Indian'!L8</f>
        <v>40</v>
      </c>
      <c r="Y9" s="1">
        <f>'Other - Mixed'!L8</f>
        <v>139</v>
      </c>
      <c r="Z9" s="1">
        <f>'All Minorities'!L8</f>
        <v>40</v>
      </c>
    </row>
    <row r="10" spans="2:26" s="1" customFormat="1" ht="15" customHeight="1" x14ac:dyDescent="0.3">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2" t="s">
        <v>13</v>
      </c>
      <c r="C13" s="103">
        <f>'Data Entry'!C12</f>
        <v>1</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x14ac:dyDescent="0.35">
      <c r="B18" s="93"/>
      <c r="C18" s="93"/>
      <c r="D18" s="93"/>
      <c r="E18" s="93"/>
      <c r="F18" s="93"/>
      <c r="G18" s="93"/>
      <c r="H18" s="93"/>
      <c r="I18" s="93"/>
      <c r="J18" s="93"/>
      <c r="K18" s="93"/>
      <c r="L18" s="93"/>
      <c r="M18" s="93"/>
      <c r="N18" s="93"/>
      <c r="O18" s="93"/>
      <c r="P18" s="93"/>
      <c r="Q18" s="93"/>
    </row>
    <row r="19" spans="2:18" ht="18" customHeight="1" thickBot="1" x14ac:dyDescent="0.4">
      <c r="B19" s="94"/>
      <c r="C19" s="130"/>
      <c r="D19" s="131"/>
      <c r="E19" s="131"/>
      <c r="F19" s="131"/>
      <c r="G19" s="131"/>
      <c r="H19" s="133" t="s">
        <v>128</v>
      </c>
      <c r="I19" s="134" t="s">
        <v>51</v>
      </c>
      <c r="J19" s="131"/>
      <c r="K19" s="131"/>
      <c r="L19" s="131"/>
      <c r="M19" s="131"/>
      <c r="N19" s="131"/>
      <c r="O19" s="132"/>
      <c r="P19" s="93"/>
      <c r="Q19" s="93"/>
    </row>
    <row r="20" spans="2:18" ht="16.5" x14ac:dyDescent="0.3">
      <c r="B20" s="93"/>
      <c r="C20" s="153" t="s">
        <v>125</v>
      </c>
      <c r="D20" s="159"/>
      <c r="E20" s="160"/>
      <c r="F20" s="161"/>
      <c r="G20" s="162" t="s">
        <v>53</v>
      </c>
      <c r="H20" s="159"/>
      <c r="I20" s="153" t="s">
        <v>56</v>
      </c>
      <c r="J20" s="159"/>
      <c r="K20" s="159"/>
      <c r="L20" s="159"/>
      <c r="M20" s="159"/>
      <c r="N20" s="159"/>
      <c r="O20" s="154" t="s">
        <v>57</v>
      </c>
      <c r="Q20" s="93"/>
    </row>
    <row r="21" spans="2:18" ht="15" customHeight="1" x14ac:dyDescent="0.3">
      <c r="B21" s="93"/>
      <c r="C21" s="155" t="s">
        <v>127</v>
      </c>
      <c r="D21" s="159"/>
      <c r="E21" s="163"/>
      <c r="F21" s="159"/>
      <c r="G21" s="164" t="s">
        <v>55</v>
      </c>
      <c r="H21" s="159"/>
      <c r="I21" s="155" t="s">
        <v>58</v>
      </c>
      <c r="J21" s="159"/>
      <c r="K21" s="159"/>
      <c r="L21" s="159"/>
      <c r="M21" s="159"/>
      <c r="N21" s="159"/>
      <c r="O21" s="156" t="s">
        <v>59</v>
      </c>
      <c r="Q21" s="93"/>
    </row>
    <row r="22" spans="2:18" ht="15" customHeight="1" thickBot="1" x14ac:dyDescent="0.35">
      <c r="B22" s="93"/>
      <c r="C22" s="165"/>
      <c r="D22" s="166"/>
      <c r="E22" s="166"/>
      <c r="F22" s="166"/>
      <c r="G22" s="166"/>
      <c r="H22" s="166"/>
      <c r="I22" s="167" t="s">
        <v>60</v>
      </c>
      <c r="J22" s="166"/>
      <c r="K22" s="166"/>
      <c r="L22" s="166"/>
      <c r="M22" s="166"/>
      <c r="N22" s="166"/>
      <c r="O22" s="157" t="s">
        <v>61</v>
      </c>
      <c r="Q22" s="93"/>
    </row>
    <row r="23" spans="2:18" ht="15" customHeight="1" x14ac:dyDescent="0.3">
      <c r="B23" s="93"/>
      <c r="C23" s="93"/>
      <c r="D23" s="93"/>
      <c r="E23"/>
      <c r="F23"/>
      <c r="G23"/>
      <c r="H23"/>
      <c r="K23"/>
      <c r="L23"/>
      <c r="M23" s="93"/>
      <c r="N23" s="93"/>
      <c r="O23" s="93"/>
      <c r="P23" s="93"/>
      <c r="Q23" s="93"/>
    </row>
    <row r="24" spans="2:18" ht="15" customHeight="1" x14ac:dyDescent="0.3">
      <c r="B24" s="93"/>
      <c r="C24" s="93"/>
      <c r="D24" s="93"/>
      <c r="E24"/>
      <c r="F24"/>
      <c r="G24"/>
      <c r="H24"/>
      <c r="K24"/>
      <c r="L24"/>
      <c r="M24" s="93"/>
      <c r="N24" s="93"/>
      <c r="O24" s="93"/>
      <c r="P24" s="93"/>
      <c r="Q24" s="93"/>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c r="J26" s="96"/>
    </row>
    <row r="27" spans="2:18" ht="12.75" customHeight="1" x14ac:dyDescent="0.25">
      <c r="B27" s="1" t="str">
        <f>'Data Entry'!A20</f>
        <v>Item 3.Referral: State Court Administrative Office</v>
      </c>
      <c r="E27" s="1" t="str">
        <f>'Data Entry'!D20</f>
        <v>Item 4.Diversion: State Court Administrative Office</v>
      </c>
      <c r="I27" s="96"/>
      <c r="J27" s="96"/>
    </row>
    <row r="28" spans="2:18" ht="12.75" customHeight="1" x14ac:dyDescent="0.25">
      <c r="B28" s="1" t="str">
        <f>'Data Entry'!A21</f>
        <v>Item 5.Detention: State Court Administrative Office</v>
      </c>
      <c r="E28" s="1" t="str">
        <f>'Data Entry'!D21</f>
        <v>Item 6.Petitioned: State Court Administrative Office</v>
      </c>
      <c r="I28" s="96"/>
      <c r="J28" s="96"/>
    </row>
    <row r="29" spans="2:18" ht="12.75" customHeight="1" x14ac:dyDescent="0.25">
      <c r="B29" s="1" t="str">
        <f>'Data Entry'!A22</f>
        <v>Item 7.Delinquent: State Court Administrative Office</v>
      </c>
      <c r="E29" s="1" t="str">
        <f>'Data Entry'!D22</f>
        <v>Item 8.Probation: State Court Administrative Office</v>
      </c>
      <c r="I29" s="96"/>
      <c r="J29" s="96"/>
    </row>
    <row r="30" spans="2:18" ht="12.75" customHeight="1" x14ac:dyDescent="0.25">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6" t="str">
        <f>'Data Entry'!A3</f>
        <v>County: Baraga</v>
      </c>
    </row>
    <row r="6" spans="1:12" x14ac:dyDescent="0.2">
      <c r="A6" s="135" t="str">
        <f>CONCATENATE("Percentage of Minorities at Stages of the Juvenile Justice System, ", A5, " 2021")</f>
        <v>Percentage of Minorities at Stages of the Juvenile Justice System, County: Baraga 2021</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x14ac:dyDescent="0.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2.382857142857143</v>
      </c>
    </row>
    <row r="8" spans="1:12" ht="25.5" customHeight="1" x14ac:dyDescent="0.2">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2.382857142857143</v>
      </c>
    </row>
    <row r="9" spans="1:12" x14ac:dyDescent="0.2">
      <c r="A9" s="128" t="str">
        <f>CONCATENATE("Delinquent Findings, total N=", 'Data Entry'!B12)</f>
        <v>Delinquent Findings, total N=1</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1</v>
      </c>
      <c r="K9" s="96" t="str">
        <f t="shared" si="0"/>
        <v>Delinquent Findings, total N=1</v>
      </c>
      <c r="L9">
        <f>I14/(SUM(B14:G14))</f>
        <v>2.382857142857143</v>
      </c>
    </row>
    <row r="10" spans="1:12" x14ac:dyDescent="0.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2.382857142857143</v>
      </c>
    </row>
    <row r="11" spans="1:12" x14ac:dyDescent="0.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2.382857142857143</v>
      </c>
    </row>
    <row r="12" spans="1:12" x14ac:dyDescent="0.2">
      <c r="A12" s="128" t="str">
        <f>CONCATENATE("Referrals, total N=", 'Data Entry'!B8)</f>
        <v>Referrals, total N=6</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0.33333333333333331</v>
      </c>
      <c r="K12" s="96" t="str">
        <f t="shared" si="0"/>
        <v>Referrals, total N=6</v>
      </c>
      <c r="L12">
        <f>I14/(SUM(B14:G14))</f>
        <v>2.382857142857143</v>
      </c>
    </row>
    <row r="13" spans="1:12" x14ac:dyDescent="0.2">
      <c r="A13" s="128" t="str">
        <f>CONCATENATE("Arrests, total N=", 'Data Entry'!B7)</f>
        <v>Arrests, total N=3</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N=3</v>
      </c>
      <c r="L13">
        <f>I14/(SUM(B14:G14))</f>
        <v>2.382857142857143</v>
      </c>
    </row>
    <row r="14" spans="1:12" x14ac:dyDescent="0.2">
      <c r="A14" s="128" t="str">
        <f>CONCATENATE("Population, total N=", 'Data Entry'!B6)</f>
        <v>Population, total N=592</v>
      </c>
      <c r="B14" s="150">
        <f>'Data Entry'!D6/'Data Entry'!B6</f>
        <v>2.0270270270270271E-2</v>
      </c>
      <c r="C14" s="150">
        <f>'Data Entry'!E6/'Data Entry'!B6</f>
        <v>2.5337837837837839E-2</v>
      </c>
      <c r="D14" s="150">
        <f>'Data Entry'!F6/'Data Entry'!B6</f>
        <v>5.0675675675675678E-3</v>
      </c>
      <c r="E14" s="150">
        <f>'Data Entry'!G6/'Data Entry'!B6</f>
        <v>0</v>
      </c>
      <c r="F14" s="150">
        <f>'Data Entry'!H6/'Data Entry'!B6</f>
        <v>0.24493243243243243</v>
      </c>
      <c r="G14" s="150">
        <f>'Data Entry'!I6/'Data Entry'!B6</f>
        <v>0</v>
      </c>
      <c r="H14" s="150">
        <f>SUM(D14:G14)/'Data Entry'!B6</f>
        <v>4.2229729729729732E-4</v>
      </c>
      <c r="I14" s="150">
        <f>'Data Entry'!C6/'Data Entry'!B6</f>
        <v>0.70439189189189189</v>
      </c>
      <c r="K14" s="96" t="str">
        <f t="shared" si="0"/>
        <v>Population, total N=592</v>
      </c>
      <c r="L14">
        <f>I14/(SUM(B14:G14))</f>
        <v>2.382857142857143</v>
      </c>
    </row>
    <row r="15" spans="1:12" x14ac:dyDescent="0.2">
      <c r="A15" s="96"/>
    </row>
    <row r="17" spans="2:9" x14ac:dyDescent="0.2">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2" t="s">
        <v>121</v>
      </c>
      <c r="C2" s="173"/>
      <c r="D2" s="173"/>
      <c r="E2" s="173"/>
      <c r="F2" s="173"/>
      <c r="G2" s="173"/>
      <c r="H2" s="173"/>
      <c r="I2" s="173"/>
      <c r="J2" s="173"/>
      <c r="K2" s="174"/>
    </row>
    <row r="3" spans="2:30" s="1" customFormat="1" ht="19.5" thickTop="1" x14ac:dyDescent="0.35">
      <c r="B3" s="97" t="str">
        <f>'Data Entry'!A2</f>
        <v>State: Michigan</v>
      </c>
      <c r="C3" s="95"/>
      <c r="D3" s="95"/>
      <c r="H3" s="205" t="str">
        <f>'Data Entry'!C3</f>
        <v xml:space="preserve">Reporting Period:  </v>
      </c>
      <c r="I3" s="206"/>
      <c r="J3" s="206"/>
      <c r="K3" s="207"/>
    </row>
    <row r="4" spans="2:30" s="1" customFormat="1" ht="19.5" thickBot="1" x14ac:dyDescent="0.4">
      <c r="B4" s="101" t="str">
        <f>'Data Entry'!A3</f>
        <v>County: Baraga</v>
      </c>
      <c r="C4" s="102"/>
      <c r="D4" s="102"/>
      <c r="E4" s="120"/>
      <c r="F4" s="120"/>
      <c r="G4" s="120"/>
      <c r="H4" s="177" t="str">
        <f>'Data Entry'!C4</f>
        <v>10/1/20 through 9/30/21</v>
      </c>
      <c r="I4" s="208"/>
      <c r="J4" s="208"/>
      <c r="K4" s="209"/>
    </row>
    <row r="5" spans="2:30" s="8" customFormat="1" ht="69" customHeight="1" x14ac:dyDescent="0.35">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x14ac:dyDescent="0.35">
      <c r="B6" s="152" t="s">
        <v>119</v>
      </c>
      <c r="C6" s="122" t="s">
        <v>117</v>
      </c>
      <c r="D6" s="123" t="s">
        <v>117</v>
      </c>
      <c r="E6" s="124" t="s">
        <v>118</v>
      </c>
      <c r="F6" s="123" t="s">
        <v>117</v>
      </c>
      <c r="G6" s="124" t="s">
        <v>118</v>
      </c>
      <c r="H6" s="123" t="s">
        <v>117</v>
      </c>
      <c r="I6" s="124" t="s">
        <v>118</v>
      </c>
      <c r="J6" s="123" t="s">
        <v>117</v>
      </c>
      <c r="K6" s="125" t="s">
        <v>118</v>
      </c>
    </row>
    <row r="7" spans="2:30" s="8" customFormat="1" ht="18" customHeight="1" x14ac:dyDescent="0.3">
      <c r="B7" s="141" t="str">
        <f>'Data Entry'!A6</f>
        <v xml:space="preserve">1. Population at Risk (age 10 through 16) </v>
      </c>
      <c r="C7" s="103">
        <f>'Data Entry'!C6</f>
        <v>417</v>
      </c>
      <c r="D7" s="104">
        <f>'Data Entry'!D6</f>
        <v>12</v>
      </c>
      <c r="E7" s="105"/>
      <c r="F7" s="106">
        <f>'Data Entry'!E6</f>
        <v>15</v>
      </c>
      <c r="G7" s="105"/>
      <c r="H7" s="106">
        <f>'Data Entry'!F6</f>
        <v>3</v>
      </c>
      <c r="I7" s="105"/>
      <c r="J7" s="106">
        <f>'Data Entry'!J6</f>
        <v>175</v>
      </c>
      <c r="K7" s="107"/>
    </row>
    <row r="8" spans="2:30" s="1" customFormat="1" ht="15" customHeight="1" x14ac:dyDescent="0.3">
      <c r="B8" s="121" t="s">
        <v>8</v>
      </c>
      <c r="C8" s="103">
        <f>'Data Entry'!C7</f>
        <v>3</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x14ac:dyDescent="0.3">
      <c r="B9" s="121" t="s">
        <v>134</v>
      </c>
      <c r="C9" s="103">
        <f>'Data Entry'!C8</f>
        <v>2</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f>'Black or African-American'!L8</f>
        <v>40</v>
      </c>
      <c r="O9" s="1">
        <f>Hispanic!L8</f>
        <v>40</v>
      </c>
      <c r="P9" s="1">
        <f>Asian!L8</f>
        <v>139</v>
      </c>
      <c r="Q9" s="1">
        <f>Hawaiian!L8</f>
        <v>139</v>
      </c>
      <c r="R9" s="1">
        <f>'Am Indian'!L8</f>
        <v>40</v>
      </c>
      <c r="S9" s="1">
        <f>'Other - Mixed'!L8</f>
        <v>139</v>
      </c>
      <c r="T9" s="1">
        <f>'All Minorities'!L8</f>
        <v>40</v>
      </c>
    </row>
    <row r="10" spans="2:30" s="1" customFormat="1" ht="15" customHeight="1" x14ac:dyDescent="0.3">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1" t="s">
        <v>13</v>
      </c>
      <c r="C13" s="103">
        <f>'Data Entry'!C12</f>
        <v>1</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x14ac:dyDescent="0.3">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x14ac:dyDescent="0.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x14ac:dyDescent="0.3">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x14ac:dyDescent="0.4">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x14ac:dyDescent="0.35">
      <c r="B18" s="93"/>
      <c r="C18" s="93"/>
      <c r="D18" s="93"/>
      <c r="E18" s="93"/>
      <c r="F18" s="93"/>
      <c r="G18" s="93"/>
      <c r="H18" s="93"/>
      <c r="I18" s="93"/>
      <c r="J18" s="93"/>
      <c r="K18" s="93"/>
      <c r="W18" s="8"/>
      <c r="X18" s="8"/>
      <c r="Y18" s="8"/>
      <c r="Z18" s="8"/>
      <c r="AA18" s="8"/>
      <c r="AB18" s="8"/>
      <c r="AC18" s="8"/>
      <c r="AD18" s="8"/>
    </row>
    <row r="19" spans="2:30" ht="18" customHeight="1" thickBot="1" x14ac:dyDescent="0.4">
      <c r="B19" s="192" t="s">
        <v>120</v>
      </c>
      <c r="C19" s="193"/>
      <c r="D19" s="193"/>
      <c r="E19" s="193"/>
      <c r="F19" s="193"/>
      <c r="G19" s="193"/>
      <c r="H19" s="193"/>
      <c r="I19" s="194"/>
      <c r="J19" s="195"/>
      <c r="K19" s="196"/>
    </row>
    <row r="20" spans="2:30" ht="15.75" x14ac:dyDescent="0.3">
      <c r="B20" s="153" t="s">
        <v>125</v>
      </c>
      <c r="C20" s="200" t="s">
        <v>53</v>
      </c>
      <c r="D20" s="201"/>
      <c r="E20" s="184" t="s">
        <v>56</v>
      </c>
      <c r="F20" s="185"/>
      <c r="G20" s="185"/>
      <c r="H20" s="185"/>
      <c r="I20" s="185"/>
      <c r="J20" s="185"/>
      <c r="K20" s="154" t="s">
        <v>57</v>
      </c>
    </row>
    <row r="21" spans="2:30" ht="15" customHeight="1" x14ac:dyDescent="0.3">
      <c r="B21" s="155" t="s">
        <v>126</v>
      </c>
      <c r="C21" s="186" t="s">
        <v>55</v>
      </c>
      <c r="D21" s="187"/>
      <c r="E21" s="188" t="s">
        <v>58</v>
      </c>
      <c r="F21" s="189"/>
      <c r="G21" s="189"/>
      <c r="H21" s="189"/>
      <c r="I21" s="189"/>
      <c r="J21" s="189"/>
      <c r="K21" s="156" t="s">
        <v>59</v>
      </c>
    </row>
    <row r="22" spans="2:30" ht="15" customHeight="1" thickBot="1" x14ac:dyDescent="0.35">
      <c r="B22" s="197"/>
      <c r="C22" s="198"/>
      <c r="D22" s="199"/>
      <c r="E22" s="190" t="s">
        <v>60</v>
      </c>
      <c r="F22" s="191"/>
      <c r="G22" s="191"/>
      <c r="H22" s="191"/>
      <c r="I22" s="191"/>
      <c r="J22" s="191"/>
      <c r="K22" s="157" t="s">
        <v>61</v>
      </c>
    </row>
    <row r="23" spans="2:30" ht="15" customHeight="1" x14ac:dyDescent="0.3">
      <c r="B23" s="93"/>
      <c r="C23" s="93"/>
      <c r="D23" s="93"/>
      <c r="E23"/>
      <c r="F23"/>
      <c r="G23"/>
      <c r="H23"/>
      <c r="J23"/>
      <c r="K23"/>
    </row>
    <row r="24" spans="2:30" ht="15" customHeight="1" x14ac:dyDescent="0.3">
      <c r="B24" s="93"/>
      <c r="C24" s="93"/>
      <c r="D24" s="93"/>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row>
    <row r="27" spans="2:30" ht="12.75" customHeight="1" x14ac:dyDescent="0.25">
      <c r="B27" s="1" t="str">
        <f>'Data Entry'!A20</f>
        <v>Item 3.Referral: State Court Administrative Office</v>
      </c>
      <c r="E27" s="1" t="str">
        <f>'Data Entry'!D20</f>
        <v>Item 4.Diversion: State Court Administrative Office</v>
      </c>
      <c r="I27" s="96"/>
    </row>
    <row r="28" spans="2:30" ht="12.75" customHeight="1" x14ac:dyDescent="0.25">
      <c r="B28" s="1" t="str">
        <f>'Data Entry'!A21</f>
        <v>Item 5.Detention: State Court Administrative Office</v>
      </c>
      <c r="E28" s="1" t="str">
        <f>'Data Entry'!D21</f>
        <v>Item 6.Petitioned: State Court Administrative Office</v>
      </c>
      <c r="I28" s="96"/>
    </row>
    <row r="29" spans="2:30" ht="12.75" customHeight="1" x14ac:dyDescent="0.25">
      <c r="B29" s="1" t="str">
        <f>'Data Entry'!A22</f>
        <v>Item 7.Delinquent: State Court Administrative Office</v>
      </c>
      <c r="E29" s="1" t="str">
        <f>'Data Entry'!D22</f>
        <v>Item 8.Probation: State Court Administrative Office</v>
      </c>
      <c r="I29" s="96"/>
    </row>
    <row r="30" spans="2:30" ht="12.75" customHeight="1" x14ac:dyDescent="0.25">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2" t="str">
        <f>'Data Entry'!D5</f>
        <v>Black or African American</v>
      </c>
      <c r="G1" s="212"/>
      <c r="H1" s="212"/>
      <c r="I1" s="212"/>
      <c r="J1" s="212"/>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Baraga</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417</v>
      </c>
      <c r="D6" s="34"/>
      <c r="E6" s="33">
        <f>'Data Entry'!D6</f>
        <v>12</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v>
      </c>
      <c r="D7" s="34">
        <f>IF((AND(C66&gt;0,C7&gt;0)),(C7/C66),0)</f>
        <v>7.1942446043165473</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12</v>
      </c>
      <c r="P7" s="42">
        <f t="shared" ref="P7:P15" si="2">C7</f>
        <v>3</v>
      </c>
      <c r="Q7" s="42">
        <f>C6-C7</f>
        <v>414</v>
      </c>
      <c r="R7" s="42">
        <f t="shared" ref="R7:R15" si="3">SUM(N7:Q7)</f>
        <v>429</v>
      </c>
      <c r="S7" s="30">
        <f t="shared" ref="S7:S15" si="4">R7*((((N7*Q7)-(O7*P7))^2))</f>
        <v>555984</v>
      </c>
      <c r="T7" s="30">
        <f t="shared" ref="T7:T15" si="5">(N7+O7)*(P7+Q7)*(N7+P7)*(O7+Q7)</f>
        <v>6395112</v>
      </c>
      <c r="U7" s="31">
        <f t="shared" ref="U7:U15" si="6">IF((S7&gt;0),S7/T7,"- -")</f>
        <v>8.6938899584557708E-2</v>
      </c>
    </row>
    <row r="8" spans="2:21" ht="18" customHeight="1" x14ac:dyDescent="0.25">
      <c r="B8" s="32" t="str">
        <f>'Data Entry'!A8</f>
        <v>3. Refer to Juvenile Court</v>
      </c>
      <c r="C8" s="33">
        <f>'Data Entry'!C8</f>
        <v>2</v>
      </c>
      <c r="D8" s="34">
        <f>IF((AND(C67&gt;0,C8&gt;0)),(C8/C67),0)</f>
        <v>66.666666666666671</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2</v>
      </c>
      <c r="Q8" s="42">
        <f>(C$67*L67)-C8</f>
        <v>1</v>
      </c>
      <c r="R8" s="42">
        <f t="shared" si="3"/>
        <v>3.05</v>
      </c>
      <c r="S8" s="30">
        <f t="shared" si="4"/>
        <v>3.0500000000000003E-2</v>
      </c>
      <c r="T8" s="30">
        <f t="shared" si="5"/>
        <v>0.31500000000000006</v>
      </c>
      <c r="U8" s="31">
        <f t="shared" si="6"/>
        <v>9.6825396825396814E-2</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2</v>
      </c>
      <c r="R9" s="42">
        <f t="shared" si="3"/>
        <v>2</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2</v>
      </c>
      <c r="R10" s="42">
        <f t="shared" si="3"/>
        <v>2</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2</v>
      </c>
      <c r="R11" s="42">
        <f t="shared" si="3"/>
        <v>2</v>
      </c>
      <c r="S11" s="30">
        <f t="shared" si="4"/>
        <v>0</v>
      </c>
      <c r="T11" s="30">
        <f t="shared" si="5"/>
        <v>0</v>
      </c>
      <c r="U11" s="31" t="str">
        <f t="shared" si="6"/>
        <v>- -</v>
      </c>
    </row>
    <row r="12" spans="2:21" ht="18" customHeight="1" x14ac:dyDescent="0.25">
      <c r="B12" s="32" t="str">
        <f>'Data Entry'!A12</f>
        <v>7. Cases Resulting in Delinquent Findings</v>
      </c>
      <c r="C12" s="33">
        <f>'Data Entry'!C12</f>
        <v>1</v>
      </c>
      <c r="D12" s="34">
        <f>IF(((AND(C69&gt;0,C12&gt;0))),(C12/(C69)),0)</f>
        <v>50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v>
      </c>
      <c r="Q12" s="42">
        <f>(C69*L69)-C12</f>
        <v>1</v>
      </c>
      <c r="R12" s="42">
        <f t="shared" si="3"/>
        <v>2</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1</v>
      </c>
      <c r="R13" s="42">
        <f t="shared" si="3"/>
        <v>1</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1</v>
      </c>
      <c r="R14" s="42">
        <f t="shared" si="3"/>
        <v>1</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2</v>
      </c>
      <c r="R15" s="42">
        <f t="shared" si="3"/>
        <v>2</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0.41699999999999998</v>
      </c>
      <c r="D42" s="56">
        <f>E6/1000</f>
        <v>1.2E-2</v>
      </c>
      <c r="E42" s="56">
        <f>MAX(C42:D42)</f>
        <v>0.41699999999999998</v>
      </c>
      <c r="G42" s="1" t="str">
        <f>B42</f>
        <v>per 1000 youth</v>
      </c>
      <c r="L42" s="57">
        <v>1000</v>
      </c>
      <c r="M42" s="57"/>
      <c r="R42" s="49"/>
    </row>
    <row r="43" spans="2:18" ht="15" hidden="1" customHeight="1" x14ac:dyDescent="0.25">
      <c r="B43" s="49" t="s">
        <v>87</v>
      </c>
      <c r="C43" s="56">
        <f>C7/100</f>
        <v>0.03</v>
      </c>
      <c r="D43" s="56">
        <f>E7/100</f>
        <v>0</v>
      </c>
      <c r="E43" s="56">
        <f>MAX(C43:D43,0)</f>
        <v>0.03</v>
      </c>
      <c r="G43" s="1" t="str">
        <f>B43</f>
        <v>per 100 arrests</v>
      </c>
      <c r="L43" s="57">
        <v>100</v>
      </c>
      <c r="M43" s="57"/>
      <c r="R43" s="49"/>
    </row>
    <row r="44" spans="2:18" ht="15" hidden="1" customHeight="1" x14ac:dyDescent="0.25">
      <c r="B44" s="49" t="s">
        <v>88</v>
      </c>
      <c r="C44" s="56">
        <f>C8/100</f>
        <v>0.02</v>
      </c>
      <c r="D44" s="56">
        <f>E8/100</f>
        <v>0</v>
      </c>
      <c r="E44" s="56">
        <f>MAX(C44:D44,0)</f>
        <v>0.02</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0.01</v>
      </c>
      <c r="D46" s="49">
        <f>E12/100</f>
        <v>0</v>
      </c>
      <c r="E46" s="56">
        <f>MAX(C46:D46)</f>
        <v>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0.41699999999999998</v>
      </c>
      <c r="D48" s="56">
        <f>D42</f>
        <v>1.2E-2</v>
      </c>
      <c r="E48" s="56">
        <f>MAX(C48:D48)</f>
        <v>0.41699999999999998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0.03</v>
      </c>
      <c r="D49" s="49">
        <f t="shared" si="9"/>
        <v>0</v>
      </c>
      <c r="E49" s="49">
        <f>MAX(C49:D49)</f>
        <v>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0.02</v>
      </c>
      <c r="D51" s="49">
        <f>IF(($E45&gt;0),D45,D44)</f>
        <v>0</v>
      </c>
      <c r="E51" s="49">
        <f>MAX(C51:D51)</f>
        <v>0.02</v>
      </c>
      <c r="G51" s="1" t="str">
        <f>G45</f>
        <v>per 100 youth petitioned</v>
      </c>
      <c r="L51" s="58">
        <f>IF(($E45&gt;0),L45,L44)</f>
        <v>100</v>
      </c>
      <c r="M51" s="58"/>
    </row>
    <row r="52" spans="2:18" ht="15" hidden="1" customHeight="1" x14ac:dyDescent="0.25">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0.41699999999999998</v>
      </c>
      <c r="D54" s="56">
        <f>D48</f>
        <v>1.2E-2</v>
      </c>
      <c r="E54" s="56">
        <f>MAX(C54:D54)</f>
        <v>0.41699999999999998</v>
      </c>
      <c r="G54" s="1" t="str">
        <f>G48</f>
        <v>per 1000 youth</v>
      </c>
      <c r="L54" s="58">
        <f>L48</f>
        <v>1000</v>
      </c>
      <c r="M54" s="58"/>
    </row>
    <row r="55" spans="2:18" ht="15" hidden="1" customHeight="1" x14ac:dyDescent="0.25">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x14ac:dyDescent="0.25">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0.41699999999999998</v>
      </c>
      <c r="D60" s="56">
        <f>D54</f>
        <v>1.2E-2</v>
      </c>
      <c r="E60" s="56">
        <f>MAX(C60:D60)</f>
        <v>0.41699999999999998</v>
      </c>
      <c r="G60" s="1" t="str">
        <f>G54</f>
        <v>per 1000 youth</v>
      </c>
      <c r="L60" s="58">
        <f>L54</f>
        <v>1000</v>
      </c>
      <c r="M60" s="58"/>
    </row>
    <row r="61" spans="2:18" ht="15" hidden="1" customHeight="1" x14ac:dyDescent="0.25">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x14ac:dyDescent="0.25">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0.41699999999999998</v>
      </c>
      <c r="D66" s="56">
        <f>D60</f>
        <v>1.2E-2</v>
      </c>
      <c r="E66" s="56">
        <f>MAX(C66:D66)</f>
        <v>0.41699999999999998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x14ac:dyDescent="0.25">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2" t="str">
        <f>'Data Entry'!F5</f>
        <v>Asian</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Baraga</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417</v>
      </c>
      <c r="D6" s="34"/>
      <c r="E6" s="33">
        <f>'Data Entry'!F6</f>
        <v>3</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v>
      </c>
      <c r="D7" s="34">
        <f>IF((AND(C66&gt;0,C7&gt;0)),(C7/C66),0)</f>
        <v>7.1942446043165473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v>
      </c>
      <c r="P7" s="42">
        <f t="shared" ref="P7:P15" si="4">C7</f>
        <v>3</v>
      </c>
      <c r="Q7" s="42">
        <f>C6-C7</f>
        <v>414</v>
      </c>
      <c r="R7" s="42">
        <f t="shared" ref="R7:R15" si="5">SUM(N7:Q7)</f>
        <v>420</v>
      </c>
      <c r="S7" s="30">
        <f t="shared" ref="S7:S15" si="6">R7*((((N7*Q7)-(O7*P7))^2))</f>
        <v>34020</v>
      </c>
      <c r="T7" s="30">
        <f t="shared" ref="T7:T15" si="7">(N7+O7)*(P7+Q7)*(N7+P7)*(O7+Q7)</f>
        <v>1565001</v>
      </c>
      <c r="U7" s="31">
        <f t="shared" ref="U7:U15" si="8">IF((S7&gt;0),S7/T7,"- -")</f>
        <v>2.1738005279229852E-2</v>
      </c>
    </row>
    <row r="8" spans="2:21" ht="18" customHeight="1" x14ac:dyDescent="0.25">
      <c r="B8" s="32" t="str">
        <f>'Data Entry'!A8</f>
        <v>3. Refer to Juvenile Court</v>
      </c>
      <c r="C8" s="33">
        <f>'Data Entry'!C8</f>
        <v>2</v>
      </c>
      <c r="D8" s="34">
        <f>IF((AND(C67&gt;0,C8&gt;0)),(C8/C67),0)</f>
        <v>66.666666666666671</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v>
      </c>
      <c r="Q8" s="42">
        <f>(C$67*L67)-C8</f>
        <v>1</v>
      </c>
      <c r="R8" s="42">
        <f t="shared" si="5"/>
        <v>3.05</v>
      </c>
      <c r="S8" s="30">
        <f t="shared" si="6"/>
        <v>3.0500000000000003E-2</v>
      </c>
      <c r="T8" s="30">
        <f t="shared" si="7"/>
        <v>0.31500000000000006</v>
      </c>
      <c r="U8" s="31">
        <f t="shared" si="8"/>
        <v>9.6825396825396814E-2</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1</v>
      </c>
      <c r="D12" s="34">
        <f>IF(((AND(C69&gt;0,C12&gt;0))),(C12/(C69)),0)</f>
        <v>50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1</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0.41699999999999998</v>
      </c>
      <c r="D42" s="56">
        <f>E6/1000</f>
        <v>3.0000000000000001E-3</v>
      </c>
      <c r="E42" s="56">
        <f>MAX(C42:D42)</f>
        <v>0.41699999999999998</v>
      </c>
      <c r="G42" s="1" t="str">
        <f>B42</f>
        <v>per 1000 youth</v>
      </c>
      <c r="L42" s="57">
        <v>1000</v>
      </c>
      <c r="M42" s="57"/>
      <c r="R42" s="49"/>
    </row>
    <row r="43" spans="2:18" ht="15" hidden="1" customHeight="1" x14ac:dyDescent="0.25">
      <c r="B43" s="49" t="s">
        <v>87</v>
      </c>
      <c r="C43" s="56">
        <f>C7/100</f>
        <v>0.03</v>
      </c>
      <c r="D43" s="56">
        <f>E7/100</f>
        <v>0</v>
      </c>
      <c r="E43" s="56">
        <f>MAX(C43:D43,0)</f>
        <v>0.03</v>
      </c>
      <c r="G43" s="1" t="str">
        <f>B43</f>
        <v>per 100 arrests</v>
      </c>
      <c r="L43" s="57">
        <v>100</v>
      </c>
      <c r="M43" s="57"/>
      <c r="R43" s="49"/>
    </row>
    <row r="44" spans="2:18" ht="15" hidden="1" customHeight="1" x14ac:dyDescent="0.25">
      <c r="B44" s="49" t="s">
        <v>88</v>
      </c>
      <c r="C44" s="56">
        <f>C8/100</f>
        <v>0.02</v>
      </c>
      <c r="D44" s="56">
        <f>E8/100</f>
        <v>0</v>
      </c>
      <c r="E44" s="56">
        <f>MAX(C44:D44,0)</f>
        <v>0.02</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0.01</v>
      </c>
      <c r="D46" s="49">
        <f>E12/100</f>
        <v>0</v>
      </c>
      <c r="E46" s="56">
        <f>MAX(C46:D46)</f>
        <v>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0.41699999999999998</v>
      </c>
      <c r="D48" s="56">
        <f>D42</f>
        <v>3.0000000000000001E-3</v>
      </c>
      <c r="E48" s="56">
        <f>MAX(C48:D48)</f>
        <v>0.41699999999999998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0.02</v>
      </c>
      <c r="D51" s="49">
        <f>IF(($E45&gt;0),D45,D44)</f>
        <v>0</v>
      </c>
      <c r="E51" s="49">
        <f>MAX(C51:D51)</f>
        <v>0.02</v>
      </c>
      <c r="G51" s="1" t="str">
        <f>G45</f>
        <v>per 100 youth petitioned</v>
      </c>
      <c r="L51" s="58">
        <f>IF(($E45&gt;0),L45,L44)</f>
        <v>100</v>
      </c>
      <c r="M51" s="58"/>
    </row>
    <row r="52" spans="2:18" ht="15" hidden="1" customHeight="1" x14ac:dyDescent="0.25">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0.41699999999999998</v>
      </c>
      <c r="D54" s="56">
        <f>D48</f>
        <v>3.0000000000000001E-3</v>
      </c>
      <c r="E54" s="56">
        <f>MAX(C54:D54)</f>
        <v>0.41699999999999998</v>
      </c>
      <c r="G54" s="1" t="str">
        <f>G48</f>
        <v>per 1000 youth</v>
      </c>
      <c r="L54" s="58">
        <f>L48</f>
        <v>1000</v>
      </c>
      <c r="M54" s="58"/>
    </row>
    <row r="55" spans="2:18" ht="15" hidden="1" customHeight="1" x14ac:dyDescent="0.25">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x14ac:dyDescent="0.25">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0.41699999999999998</v>
      </c>
      <c r="D60" s="56">
        <f>D54</f>
        <v>3.0000000000000001E-3</v>
      </c>
      <c r="E60" s="56">
        <f>MAX(C60:D60)</f>
        <v>0.41699999999999998</v>
      </c>
      <c r="G60" s="1" t="str">
        <f>G54</f>
        <v>per 1000 youth</v>
      </c>
      <c r="L60" s="58">
        <f>L54</f>
        <v>1000</v>
      </c>
      <c r="M60" s="58"/>
    </row>
    <row r="61" spans="2:18" ht="15" hidden="1" customHeight="1" x14ac:dyDescent="0.25">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x14ac:dyDescent="0.25">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0.41699999999999998</v>
      </c>
      <c r="D66" s="56">
        <f>D60</f>
        <v>3.0000000000000001E-3</v>
      </c>
      <c r="E66" s="56">
        <f>MAX(C66:D66)</f>
        <v>0.41699999999999998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x14ac:dyDescent="0.25">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2" t="str">
        <f>'Data Entry'!E5</f>
        <v>Hispanic or Latino</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Baraga</v>
      </c>
      <c r="C3" s="22"/>
      <c r="D3" s="22"/>
      <c r="E3" s="22"/>
      <c r="F3" s="22"/>
      <c r="G3" s="7"/>
      <c r="H3" s="7"/>
      <c r="I3" s="7"/>
      <c r="J3" s="7"/>
      <c r="K3" s="7"/>
      <c r="N3" s="211" t="s">
        <v>31</v>
      </c>
      <c r="O3" s="211"/>
      <c r="P3" s="211"/>
      <c r="Q3" s="211"/>
      <c r="R3" s="211"/>
      <c r="S3" s="211"/>
      <c r="T3" s="211"/>
      <c r="U3" s="211"/>
    </row>
    <row r="4" spans="2:21" ht="24.7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417</v>
      </c>
      <c r="D6" s="34"/>
      <c r="E6" s="33">
        <f>'Data Entry'!E6</f>
        <v>15</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v>
      </c>
      <c r="D7" s="34">
        <f>IF((AND(C66&gt;0,C7&gt;0)),(C7/C66),0)</f>
        <v>7.1942446043165473</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15</v>
      </c>
      <c r="P7" s="42">
        <f t="shared" ref="P7:P15" si="4">C7</f>
        <v>3</v>
      </c>
      <c r="Q7" s="42">
        <f>C6-C7</f>
        <v>414</v>
      </c>
      <c r="R7" s="42">
        <f t="shared" ref="R7:R15" si="5">SUM(N7:Q7)</f>
        <v>432</v>
      </c>
      <c r="S7" s="30">
        <f t="shared" ref="S7:S15" si="6">R7*((((N7*Q7)-(O7*P7))^2))</f>
        <v>874800</v>
      </c>
      <c r="T7" s="30">
        <f t="shared" ref="T7:T15" si="7">(N7+O7)*(P7+Q7)*(N7+P7)*(O7+Q7)</f>
        <v>8050185</v>
      </c>
      <c r="U7" s="31">
        <f t="shared" ref="U7:U15" si="8">IF((S7&gt;0),S7/T7,"- -")</f>
        <v>0.10866831010715902</v>
      </c>
    </row>
    <row r="8" spans="2:21" ht="18" customHeight="1" x14ac:dyDescent="0.25">
      <c r="B8" s="32" t="str">
        <f>'Data Entry'!A8</f>
        <v>3. Refer to Juvenile Court</v>
      </c>
      <c r="C8" s="33">
        <f>'Data Entry'!C8</f>
        <v>2</v>
      </c>
      <c r="D8" s="34">
        <f>IF((AND(C67&gt;0,C8&gt;0)),(C8/C67),0)</f>
        <v>66.666666666666671</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v>
      </c>
      <c r="Q8" s="42">
        <f>(C$67*L67)-C8</f>
        <v>1</v>
      </c>
      <c r="R8" s="42">
        <f t="shared" si="5"/>
        <v>3.05</v>
      </c>
      <c r="S8" s="30">
        <f t="shared" si="6"/>
        <v>3.0500000000000003E-2</v>
      </c>
      <c r="T8" s="30">
        <f t="shared" si="7"/>
        <v>0.31500000000000006</v>
      </c>
      <c r="U8" s="31">
        <f t="shared" si="8"/>
        <v>9.6825396825396814E-2</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1</v>
      </c>
      <c r="D12" s="34">
        <f>IF(((AND(C69&gt;0,C12&gt;0))),(C12/(C69)),0)</f>
        <v>50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1</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0.41699999999999998</v>
      </c>
      <c r="D42" s="56">
        <f>E6/1000</f>
        <v>1.4999999999999999E-2</v>
      </c>
      <c r="E42" s="56">
        <f>MAX(C42:D42)</f>
        <v>0.41699999999999998</v>
      </c>
      <c r="G42" s="1" t="str">
        <f>B42</f>
        <v>per 1000 youth</v>
      </c>
      <c r="L42" s="57">
        <v>1000</v>
      </c>
      <c r="M42" s="57"/>
      <c r="R42" s="49"/>
    </row>
    <row r="43" spans="2:18" ht="15" hidden="1" customHeight="1" x14ac:dyDescent="0.25">
      <c r="B43" s="49" t="s">
        <v>87</v>
      </c>
      <c r="C43" s="56">
        <f>C7/100</f>
        <v>0.03</v>
      </c>
      <c r="D43" s="56">
        <f>E7/100</f>
        <v>0</v>
      </c>
      <c r="E43" s="56">
        <f>MAX(C43:D43,0)</f>
        <v>0.03</v>
      </c>
      <c r="G43" s="1" t="str">
        <f>B43</f>
        <v>per 100 arrests</v>
      </c>
      <c r="L43" s="57">
        <v>100</v>
      </c>
      <c r="M43" s="57"/>
      <c r="R43" s="49"/>
    </row>
    <row r="44" spans="2:18" ht="15" hidden="1" customHeight="1" x14ac:dyDescent="0.25">
      <c r="B44" s="49" t="s">
        <v>88</v>
      </c>
      <c r="C44" s="56">
        <f>C8/100</f>
        <v>0.02</v>
      </c>
      <c r="D44" s="56">
        <f>E8/100</f>
        <v>0</v>
      </c>
      <c r="E44" s="56">
        <f>MAX(C44:D44,0)</f>
        <v>0.02</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0.01</v>
      </c>
      <c r="D46" s="49">
        <f>E12/100</f>
        <v>0</v>
      </c>
      <c r="E46" s="56">
        <f>MAX(C46:D46)</f>
        <v>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0.41699999999999998</v>
      </c>
      <c r="D48" s="56">
        <f>D42</f>
        <v>1.4999999999999999E-2</v>
      </c>
      <c r="E48" s="56">
        <f>MAX(C48:D48)</f>
        <v>0.41699999999999998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0.02</v>
      </c>
      <c r="D51" s="49">
        <f>IF(($E45&gt;0),D45,D44)</f>
        <v>0</v>
      </c>
      <c r="E51" s="49">
        <f>MAX(C51:D51)</f>
        <v>0.02</v>
      </c>
      <c r="G51" s="1" t="str">
        <f>G45</f>
        <v>per 100 youth petitioned</v>
      </c>
      <c r="L51" s="58">
        <f>IF(($E45&gt;0),L45,L44)</f>
        <v>100</v>
      </c>
      <c r="M51" s="58"/>
    </row>
    <row r="52" spans="2:18" ht="15" hidden="1" customHeight="1" x14ac:dyDescent="0.25">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0.41699999999999998</v>
      </c>
      <c r="D54" s="56">
        <f>D48</f>
        <v>1.4999999999999999E-2</v>
      </c>
      <c r="E54" s="56">
        <f>MAX(C54:D54)</f>
        <v>0.41699999999999998</v>
      </c>
      <c r="G54" s="1" t="str">
        <f>G48</f>
        <v>per 1000 youth</v>
      </c>
      <c r="L54" s="58">
        <f>L48</f>
        <v>1000</v>
      </c>
      <c r="M54" s="58"/>
    </row>
    <row r="55" spans="2:18" ht="15" hidden="1" customHeight="1" x14ac:dyDescent="0.25">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x14ac:dyDescent="0.25">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0.41699999999999998</v>
      </c>
      <c r="D60" s="56">
        <f>D54</f>
        <v>1.4999999999999999E-2</v>
      </c>
      <c r="E60" s="56">
        <f>MAX(C60:D60)</f>
        <v>0.41699999999999998</v>
      </c>
      <c r="G60" s="1" t="str">
        <f>G54</f>
        <v>per 1000 youth</v>
      </c>
      <c r="L60" s="58">
        <f>L54</f>
        <v>1000</v>
      </c>
      <c r="M60" s="58"/>
    </row>
    <row r="61" spans="2:18" ht="15" hidden="1" customHeight="1" x14ac:dyDescent="0.25">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x14ac:dyDescent="0.25">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0.41699999999999998</v>
      </c>
      <c r="D66" s="56">
        <f>D60</f>
        <v>1.4999999999999999E-2</v>
      </c>
      <c r="E66" s="56">
        <f>MAX(C66:D66)</f>
        <v>0.41699999999999998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x14ac:dyDescent="0.25">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2" t="str">
        <f>'Data Entry'!G5</f>
        <v>Native Hawaiian or Other Pacific Islanders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Baraga</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417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v>
      </c>
      <c r="D7" s="34">
        <f>IF((AND(C66&gt;0,C7&gt;0)),(C7/C66),0)</f>
        <v>7.1942446043165473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v>
      </c>
      <c r="Q7" s="42">
        <f>C6-C7</f>
        <v>414</v>
      </c>
      <c r="R7" s="42">
        <f t="shared" ref="R7:R15" si="5">SUM(N7:Q7)</f>
        <v>417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2</v>
      </c>
      <c r="D8" s="34">
        <f>IF((AND(C67&gt;0,C8&gt;0)),(C8/C67),0)</f>
        <v>66.666666666666671</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v>
      </c>
      <c r="Q8" s="42">
        <f>(C$67*L67)-C8</f>
        <v>1</v>
      </c>
      <c r="R8" s="42">
        <f t="shared" si="5"/>
        <v>3.05</v>
      </c>
      <c r="S8" s="30">
        <f t="shared" si="6"/>
        <v>3.0500000000000003E-2</v>
      </c>
      <c r="T8" s="30">
        <f t="shared" si="7"/>
        <v>0.31500000000000006</v>
      </c>
      <c r="U8" s="31">
        <f t="shared" si="8"/>
        <v>9.6825396825396814E-2</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1</v>
      </c>
      <c r="D12" s="34">
        <f>IF(((AND(C69&gt;0,C12&gt;0))),(C12/(C69)),0)</f>
        <v>50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1</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0.41699999999999998</v>
      </c>
      <c r="D42" s="56">
        <f>E6/1000</f>
        <v>0</v>
      </c>
      <c r="E42" s="56">
        <f>MAX(C42:D42)</f>
        <v>0.41699999999999998</v>
      </c>
      <c r="G42" s="1" t="str">
        <f>B42</f>
        <v>per 1000 youth</v>
      </c>
      <c r="L42" s="57">
        <v>1000</v>
      </c>
      <c r="M42" s="57"/>
      <c r="R42" s="49"/>
    </row>
    <row r="43" spans="2:18" ht="15" hidden="1" customHeight="1" x14ac:dyDescent="0.25">
      <c r="B43" s="49" t="s">
        <v>87</v>
      </c>
      <c r="C43" s="56">
        <f>C7/100</f>
        <v>0.03</v>
      </c>
      <c r="D43" s="56">
        <f>E7/100</f>
        <v>0</v>
      </c>
      <c r="E43" s="56">
        <f>MAX(C43:D43,0)</f>
        <v>0.03</v>
      </c>
      <c r="G43" s="1" t="str">
        <f>B43</f>
        <v>per 100 arrests</v>
      </c>
      <c r="L43" s="57">
        <v>100</v>
      </c>
      <c r="M43" s="57"/>
      <c r="R43" s="49"/>
    </row>
    <row r="44" spans="2:18" ht="15" hidden="1" customHeight="1" x14ac:dyDescent="0.25">
      <c r="B44" s="49" t="s">
        <v>88</v>
      </c>
      <c r="C44" s="56">
        <f>C8/100</f>
        <v>0.02</v>
      </c>
      <c r="D44" s="56">
        <f>E8/100</f>
        <v>0</v>
      </c>
      <c r="E44" s="56">
        <f>MAX(C44:D44,0)</f>
        <v>0.02</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0.01</v>
      </c>
      <c r="D46" s="49">
        <f>E12/100</f>
        <v>0</v>
      </c>
      <c r="E46" s="56">
        <f>MAX(C46:D46)</f>
        <v>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0.41699999999999998</v>
      </c>
      <c r="D48" s="56">
        <f>D42</f>
        <v>0</v>
      </c>
      <c r="E48" s="56">
        <f>MAX(C48:D48)</f>
        <v>0.41699999999999998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0.02</v>
      </c>
      <c r="D51" s="49">
        <f>IF(($E45&gt;0),D45,D44)</f>
        <v>0</v>
      </c>
      <c r="E51" s="49">
        <f>MAX(C51:D51)</f>
        <v>0.02</v>
      </c>
      <c r="G51" s="1" t="str">
        <f>G45</f>
        <v>per 100 youth petitioned</v>
      </c>
      <c r="L51" s="58">
        <f>IF(($E45&gt;0),L45,L44)</f>
        <v>100</v>
      </c>
      <c r="M51" s="58"/>
    </row>
    <row r="52" spans="2:18" ht="15" hidden="1" customHeight="1" x14ac:dyDescent="0.25">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0.41699999999999998</v>
      </c>
      <c r="D54" s="56">
        <f>D48</f>
        <v>0</v>
      </c>
      <c r="E54" s="56">
        <f>MAX(C54:D54)</f>
        <v>0.41699999999999998</v>
      </c>
      <c r="G54" s="1" t="str">
        <f>G48</f>
        <v>per 1000 youth</v>
      </c>
      <c r="L54" s="58">
        <f>L48</f>
        <v>1000</v>
      </c>
      <c r="M54" s="58"/>
    </row>
    <row r="55" spans="2:18" ht="15" hidden="1" customHeight="1" x14ac:dyDescent="0.25">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x14ac:dyDescent="0.25">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0.41699999999999998</v>
      </c>
      <c r="D60" s="56">
        <f>D54</f>
        <v>0</v>
      </c>
      <c r="E60" s="56">
        <f>MAX(C60:D60)</f>
        <v>0.41699999999999998</v>
      </c>
      <c r="G60" s="1" t="str">
        <f>G54</f>
        <v>per 1000 youth</v>
      </c>
      <c r="L60" s="58">
        <f>L54</f>
        <v>1000</v>
      </c>
      <c r="M60" s="58"/>
    </row>
    <row r="61" spans="2:18" ht="15" hidden="1" customHeight="1" x14ac:dyDescent="0.25">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x14ac:dyDescent="0.25">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0.41699999999999998</v>
      </c>
      <c r="D66" s="56">
        <f>D60</f>
        <v>0</v>
      </c>
      <c r="E66" s="56">
        <f>MAX(C66:D66)</f>
        <v>0.41699999999999998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x14ac:dyDescent="0.25">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Entry'!H5</f>
        <v>American Indian or Alaska Native</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Baraga</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417</v>
      </c>
      <c r="D6" s="34"/>
      <c r="E6" s="33">
        <f>'Data Entry'!H6</f>
        <v>145</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v>
      </c>
      <c r="D7" s="34">
        <f>IF((AND(C66&gt;0,C7&gt;0)),(C7/C66),0)</f>
        <v>7.1942446043165473</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145</v>
      </c>
      <c r="P7" s="42">
        <f t="shared" ref="P7:P15" si="4">C7</f>
        <v>3</v>
      </c>
      <c r="Q7" s="42">
        <f>C6-C7</f>
        <v>414</v>
      </c>
      <c r="R7" s="42">
        <f t="shared" ref="R7:R15" si="5">SUM(N7:Q7)</f>
        <v>562</v>
      </c>
      <c r="S7" s="30">
        <f t="shared" ref="S7:S15" si="6">R7*((((N7*Q7)-(O7*P7))^2))</f>
        <v>106344450</v>
      </c>
      <c r="T7" s="30">
        <f t="shared" ref="T7:T15" si="7">(N7+O7)*(P7+Q7)*(N7+P7)*(O7+Q7)</f>
        <v>101399805</v>
      </c>
      <c r="U7" s="31">
        <f t="shared" ref="U7:U15" si="8">IF((S7&gt;0),S7/T7,"- -")</f>
        <v>1.0487638511730866</v>
      </c>
    </row>
    <row r="8" spans="2:21" ht="18" customHeight="1" x14ac:dyDescent="0.25">
      <c r="B8" s="32" t="str">
        <f>'Data Entry'!A8</f>
        <v>3. Refer to Juvenile Court</v>
      </c>
      <c r="C8" s="33">
        <f>'Data Entry'!C8</f>
        <v>2</v>
      </c>
      <c r="D8" s="34">
        <f>IF((AND(C67&gt;0,C8&gt;0)),(C8/C67),0)</f>
        <v>66.666666666666671</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v>
      </c>
      <c r="Q8" s="42">
        <f>(C$67*L67)-C8</f>
        <v>1</v>
      </c>
      <c r="R8" s="42">
        <f t="shared" si="5"/>
        <v>3.05</v>
      </c>
      <c r="S8" s="30">
        <f t="shared" si="6"/>
        <v>3.0500000000000003E-2</v>
      </c>
      <c r="T8" s="30">
        <f t="shared" si="7"/>
        <v>0.31500000000000006</v>
      </c>
      <c r="U8" s="31">
        <f t="shared" si="8"/>
        <v>9.6825396825396814E-2</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1</v>
      </c>
      <c r="D12" s="34">
        <f>IF(((AND(C69&gt;0,C12&gt;0))),(C12/(C69)),0)</f>
        <v>50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1</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0.41699999999999998</v>
      </c>
      <c r="D42" s="56">
        <f>E6/1000</f>
        <v>0.14499999999999999</v>
      </c>
      <c r="E42" s="56">
        <f>MAX(C42:D42)</f>
        <v>0.41699999999999998</v>
      </c>
      <c r="G42" s="1" t="str">
        <f>B42</f>
        <v>per 1000 youth</v>
      </c>
      <c r="L42" s="57">
        <v>1000</v>
      </c>
      <c r="M42" s="57"/>
      <c r="R42" s="49"/>
    </row>
    <row r="43" spans="2:18" ht="15" hidden="1" customHeight="1" x14ac:dyDescent="0.25">
      <c r="B43" s="49" t="s">
        <v>87</v>
      </c>
      <c r="C43" s="56">
        <f>C7/100</f>
        <v>0.03</v>
      </c>
      <c r="D43" s="56">
        <f>E7/100</f>
        <v>0</v>
      </c>
      <c r="E43" s="56">
        <f>MAX(C43:D43,0)</f>
        <v>0.03</v>
      </c>
      <c r="G43" s="1" t="str">
        <f>B43</f>
        <v>per 100 arrests</v>
      </c>
      <c r="L43" s="57">
        <v>100</v>
      </c>
      <c r="M43" s="57"/>
      <c r="R43" s="49"/>
    </row>
    <row r="44" spans="2:18" ht="15" hidden="1" customHeight="1" x14ac:dyDescent="0.25">
      <c r="B44" s="49" t="s">
        <v>88</v>
      </c>
      <c r="C44" s="56">
        <f>C8/100</f>
        <v>0.02</v>
      </c>
      <c r="D44" s="56">
        <f>E8/100</f>
        <v>0</v>
      </c>
      <c r="E44" s="56">
        <f>MAX(C44:D44,0)</f>
        <v>0.02</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0.01</v>
      </c>
      <c r="D46" s="49">
        <f>E12/100</f>
        <v>0</v>
      </c>
      <c r="E46" s="56">
        <f>MAX(C46:D46)</f>
        <v>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0.41699999999999998</v>
      </c>
      <c r="D48" s="56">
        <f>D42</f>
        <v>0.14499999999999999</v>
      </c>
      <c r="E48" s="56">
        <f>MAX(C48:D48)</f>
        <v>0.41699999999999998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0.02</v>
      </c>
      <c r="D51" s="49">
        <f>IF(($E45&gt;0),D45,D44)</f>
        <v>0</v>
      </c>
      <c r="E51" s="49">
        <f>MAX(C51:D51)</f>
        <v>0.02</v>
      </c>
      <c r="G51" s="1" t="str">
        <f>G45</f>
        <v>per 100 youth petitioned</v>
      </c>
      <c r="L51" s="58">
        <f>IF(($E45&gt;0),L45,L44)</f>
        <v>100</v>
      </c>
      <c r="M51" s="58"/>
    </row>
    <row r="52" spans="2:18" ht="15" hidden="1" customHeight="1" x14ac:dyDescent="0.25">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0.41699999999999998</v>
      </c>
      <c r="D54" s="56">
        <f>D48</f>
        <v>0.14499999999999999</v>
      </c>
      <c r="E54" s="56">
        <f>MAX(C54:D54)</f>
        <v>0.41699999999999998</v>
      </c>
      <c r="G54" s="1" t="str">
        <f>G48</f>
        <v>per 1000 youth</v>
      </c>
      <c r="L54" s="58">
        <f>L48</f>
        <v>1000</v>
      </c>
      <c r="M54" s="58"/>
    </row>
    <row r="55" spans="2:18" ht="15" hidden="1" customHeight="1" x14ac:dyDescent="0.25">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x14ac:dyDescent="0.25">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0.41699999999999998</v>
      </c>
      <c r="D60" s="56">
        <f>D54</f>
        <v>0.14499999999999999</v>
      </c>
      <c r="E60" s="56">
        <f>MAX(C60:D60)</f>
        <v>0.41699999999999998</v>
      </c>
      <c r="G60" s="1" t="str">
        <f>G54</f>
        <v>per 1000 youth</v>
      </c>
      <c r="L60" s="58">
        <f>L54</f>
        <v>1000</v>
      </c>
      <c r="M60" s="58"/>
    </row>
    <row r="61" spans="2:18" ht="15" hidden="1" customHeight="1" x14ac:dyDescent="0.25">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x14ac:dyDescent="0.25">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0.41699999999999998</v>
      </c>
      <c r="D66" s="56">
        <f>D60</f>
        <v>0.14499999999999999</v>
      </c>
      <c r="E66" s="56">
        <f>MAX(C66:D66)</f>
        <v>0.41699999999999998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x14ac:dyDescent="0.25">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x14ac:dyDescent="0.25">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x14ac:dyDescent="0.25">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U47JMPN4QEAR-1806752177-30244</_dlc_DocId>
    <_dlc_DocIdUrl xmlns="ac3811b5-0f3e-49e2-ba69-f2ffa0c782af">
      <Url>https://michiganphi.sharepoint.com/sites/CMDMC/_layouts/15/DocIdRedir.aspx?ID=U47JMPN4QEAR-1806752177-30244</Url>
      <Description>U47JMPN4QEAR-1806752177-30244</Description>
    </_dlc_DocIdUrl>
  </documentManagement>
</p:properties>
</file>

<file path=customXml/itemProps1.xml><?xml version="1.0" encoding="utf-8"?>
<ds:datastoreItem xmlns:ds="http://schemas.openxmlformats.org/officeDocument/2006/customXml" ds:itemID="{35194664-E988-44A6-BFA0-E57629B536E3}"/>
</file>

<file path=customXml/itemProps2.xml><?xml version="1.0" encoding="utf-8"?>
<ds:datastoreItem xmlns:ds="http://schemas.openxmlformats.org/officeDocument/2006/customXml" ds:itemID="{F47B0540-E5CE-4FF1-828F-E2D6C745FA8D}"/>
</file>

<file path=customXml/itemProps3.xml><?xml version="1.0" encoding="utf-8"?>
<ds:datastoreItem xmlns:ds="http://schemas.openxmlformats.org/officeDocument/2006/customXml" ds:itemID="{F475120C-B62A-4C53-AAE3-9DE35FC74268}"/>
</file>

<file path=customXml/itemProps4.xml><?xml version="1.0" encoding="utf-8"?>
<ds:datastoreItem xmlns:ds="http://schemas.openxmlformats.org/officeDocument/2006/customXml" ds:itemID="{5BE438DC-8547-46AF-A183-626A981534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2023-01-30T14:50:20Z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0ef2d37a-27af-4729-9f53-1b1ff0a37328</vt:lpwstr>
  </property>
</Properties>
</file>