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44685CC1-9AF5-4227-96D6-C47CE1FDBB57}" xr6:coauthVersionLast="47" xr6:coauthVersionMax="47" xr10:uidLastSave="{55F465FF-648B-4158-A00C-F82C8A5DDC24}"/>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s="1"/>
  <c r="G56" i="3" s="1"/>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3"/>
  <c r="M66" i="3"/>
  <c r="F27" i="4"/>
  <c r="M66" i="4"/>
  <c r="F27" i="6"/>
  <c r="M66" i="6"/>
  <c r="F27" i="2"/>
  <c r="M66" i="2"/>
  <c r="M66" i="7"/>
  <c r="F27" i="7"/>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3" i="7"/>
  <c r="C49" i="7" s="1"/>
  <c r="E46" i="3"/>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L49" i="7"/>
  <c r="B49" i="7"/>
  <c r="D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6" i="5"/>
  <c r="E49" i="5"/>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L58" i="8"/>
  <c r="B58" i="8"/>
  <c r="C56" i="2"/>
  <c r="E56" i="2" s="1"/>
  <c r="D58" i="8"/>
  <c r="E58" i="5"/>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L64" i="3" s="1"/>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D64" i="5"/>
  <c r="B56" i="8"/>
  <c r="C64" i="5"/>
  <c r="B64" i="5"/>
  <c r="C57" i="8"/>
  <c r="L64" i="5"/>
  <c r="L56" i="8"/>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C64" i="8"/>
  <c r="E64" i="5"/>
  <c r="C63" i="3"/>
  <c r="E57" i="8"/>
  <c r="B63" i="8" s="1"/>
  <c r="I7" i="9"/>
  <c r="Q8" i="13"/>
  <c r="B63" i="3"/>
  <c r="E64" i="6"/>
  <c r="B70" i="6" s="1"/>
  <c r="M70" i="6" s="1"/>
  <c r="Z8" i="13"/>
  <c r="R7" i="9"/>
  <c r="D63" i="3"/>
  <c r="E63" i="3" s="1"/>
  <c r="C69" i="3" s="1"/>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B63" i="5"/>
  <c r="B70" i="5" s="1"/>
  <c r="F33" i="5" s="1"/>
  <c r="L63" i="5"/>
  <c r="F8" i="5"/>
  <c r="L70" i="5" l="1"/>
  <c r="C70" i="5"/>
  <c r="C70" i="3"/>
  <c r="D14" i="3" s="1"/>
  <c r="L69" i="7"/>
  <c r="C69" i="7"/>
  <c r="D12" i="7" s="1"/>
  <c r="L70" i="3"/>
  <c r="L63" i="8"/>
  <c r="L70" i="8" s="1"/>
  <c r="D63" i="8"/>
  <c r="D70" i="8" s="1"/>
  <c r="F13" i="8" s="1"/>
  <c r="C63" i="8"/>
  <c r="C70" i="8" s="1"/>
  <c r="D70" i="6"/>
  <c r="F14" i="6" s="1"/>
  <c r="B70" i="3"/>
  <c r="M70" i="3" s="1"/>
  <c r="L70" i="6"/>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D69" i="3"/>
  <c r="E69" i="3" s="1"/>
  <c r="F29" i="4"/>
  <c r="F13" i="5"/>
  <c r="F13" i="4"/>
  <c r="F33" i="4"/>
  <c r="F10" i="4"/>
  <c r="O10" i="4"/>
  <c r="M67" i="5"/>
  <c r="O11" i="3"/>
  <c r="T11" i="3" s="1"/>
  <c r="O14" i="4"/>
  <c r="Q13" i="4"/>
  <c r="F30" i="3"/>
  <c r="Q9" i="3"/>
  <c r="O10" i="3"/>
  <c r="E68" i="3"/>
  <c r="O9" i="3"/>
  <c r="F31" i="3"/>
  <c r="F29" i="3"/>
  <c r="D14" i="4"/>
  <c r="L70" i="7"/>
  <c r="O14" i="7" s="1"/>
  <c r="M69" i="7"/>
  <c r="B69" i="3"/>
  <c r="M69" i="3" s="1"/>
  <c r="B70" i="8"/>
  <c r="M70" i="8" s="1"/>
  <c r="E64" i="2"/>
  <c r="L70" i="2" s="1"/>
  <c r="L67" i="6"/>
  <c r="F10" i="3"/>
  <c r="F11" i="3"/>
  <c r="D67" i="6"/>
  <c r="F8" i="6" s="1"/>
  <c r="L69" i="3"/>
  <c r="Q12" i="3" s="1"/>
  <c r="M70" i="5"/>
  <c r="E70" i="5"/>
  <c r="Q13" i="5"/>
  <c r="D13" i="5"/>
  <c r="D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Q12" i="7" l="1"/>
  <c r="Q14" i="5"/>
  <c r="O14" i="5"/>
  <c r="O13" i="5"/>
  <c r="D13" i="3"/>
  <c r="Q14" i="3"/>
  <c r="Q13" i="3"/>
  <c r="F13" i="6"/>
  <c r="Q15" i="7"/>
  <c r="D15" i="7"/>
  <c r="E69" i="7"/>
  <c r="E70" i="3"/>
  <c r="F14" i="3"/>
  <c r="B69" i="6"/>
  <c r="M69" i="6" s="1"/>
  <c r="O15" i="7"/>
  <c r="Q13" i="8"/>
  <c r="F34" i="3"/>
  <c r="F12" i="7"/>
  <c r="E63" i="8"/>
  <c r="D69" i="8" s="1"/>
  <c r="F15" i="8" s="1"/>
  <c r="O13" i="6"/>
  <c r="O14" i="6"/>
  <c r="O13" i="3"/>
  <c r="E70" i="6"/>
  <c r="D14" i="6"/>
  <c r="Q13" i="6"/>
  <c r="Q14" i="6"/>
  <c r="O12" i="7"/>
  <c r="T12" i="7" s="1"/>
  <c r="F33" i="3"/>
  <c r="C69" i="6"/>
  <c r="D12" i="6" s="1"/>
  <c r="O14" i="3"/>
  <c r="D69" i="6"/>
  <c r="F12" i="6" s="1"/>
  <c r="T10" i="3"/>
  <c r="K10" i="4"/>
  <c r="F8" i="7"/>
  <c r="T9" i="4"/>
  <c r="T11" i="4"/>
  <c r="K11" i="4"/>
  <c r="R10" i="4"/>
  <c r="S10" i="4" s="1"/>
  <c r="U10" i="4" s="1"/>
  <c r="J10" i="4" s="1"/>
  <c r="M10" i="4" s="1"/>
  <c r="G10" i="4" s="1"/>
  <c r="G11" i="16" s="1"/>
  <c r="T8" i="3"/>
  <c r="U8" i="3" s="1"/>
  <c r="J8" i="3" s="1"/>
  <c r="F12" i="3"/>
  <c r="T13" i="4"/>
  <c r="T8" i="5"/>
  <c r="U8" i="5" s="1"/>
  <c r="J8" i="5" s="1"/>
  <c r="K8" i="5"/>
  <c r="E67" i="7"/>
  <c r="M67" i="7"/>
  <c r="D8" i="7"/>
  <c r="T10" i="4"/>
  <c r="K8" i="3"/>
  <c r="Q8" i="7"/>
  <c r="R8" i="7" s="1"/>
  <c r="S8" i="7" s="1"/>
  <c r="M69" i="2"/>
  <c r="K14" i="4"/>
  <c r="K13" i="4"/>
  <c r="Q8" i="6"/>
  <c r="O8" i="6"/>
  <c r="E67" i="6"/>
  <c r="F15" i="3"/>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T11" i="5"/>
  <c r="K11" i="5"/>
  <c r="D12" i="2"/>
  <c r="D15" i="2"/>
  <c r="Q15" i="2"/>
  <c r="E69" i="2"/>
  <c r="Q12" i="2"/>
  <c r="E67" i="8"/>
  <c r="Q8" i="8"/>
  <c r="D8" i="8"/>
  <c r="C68" i="8"/>
  <c r="D68" i="8"/>
  <c r="L68" i="8"/>
  <c r="B68" i="8"/>
  <c r="R14" i="3" l="1"/>
  <c r="S14" i="3" s="1"/>
  <c r="U14" i="3" s="1"/>
  <c r="J14" i="3" s="1"/>
  <c r="M14" i="3" s="1"/>
  <c r="G14" i="3" s="1"/>
  <c r="I15" i="16" s="1"/>
  <c r="T13" i="3"/>
  <c r="R15" i="7"/>
  <c r="S15" i="7" s="1"/>
  <c r="U15" i="7" s="1"/>
  <c r="J15" i="7" s="1"/>
  <c r="T15" i="7"/>
  <c r="R13" i="3"/>
  <c r="S13" i="3" s="1"/>
  <c r="U13" i="3" s="1"/>
  <c r="J13" i="3" s="1"/>
  <c r="M13" i="3" s="1"/>
  <c r="G13" i="3" s="1"/>
  <c r="F35" i="6"/>
  <c r="K13" i="3"/>
  <c r="K15" i="7"/>
  <c r="L15" i="7" s="1"/>
  <c r="S16" i="16" s="1"/>
  <c r="F32" i="6"/>
  <c r="C69" i="8"/>
  <c r="D12" i="8" s="1"/>
  <c r="L69" i="8"/>
  <c r="O15" i="8" s="1"/>
  <c r="B69" i="8"/>
  <c r="M69" i="8" s="1"/>
  <c r="F12" i="8"/>
  <c r="R13" i="8"/>
  <c r="S13" i="8" s="1"/>
  <c r="T13" i="6"/>
  <c r="T14" i="6"/>
  <c r="R13" i="6"/>
  <c r="S13" i="6" s="1"/>
  <c r="U13" i="6" s="1"/>
  <c r="J13" i="6" s="1"/>
  <c r="M13" i="6" s="1"/>
  <c r="G13" i="6" s="1"/>
  <c r="G13" i="9" s="1"/>
  <c r="D15" i="6"/>
  <c r="R14" i="6"/>
  <c r="S14" i="6" s="1"/>
  <c r="U14" i="6" s="1"/>
  <c r="J14" i="6" s="1"/>
  <c r="M14" i="6" s="1"/>
  <c r="G14" i="6" s="1"/>
  <c r="M15" i="13" s="1"/>
  <c r="Q12" i="6"/>
  <c r="Q15" i="6"/>
  <c r="K14" i="3"/>
  <c r="L14" i="3" s="1"/>
  <c r="P15" i="16" s="1"/>
  <c r="T14" i="3"/>
  <c r="K13" i="6"/>
  <c r="K14" i="6"/>
  <c r="T13" i="8"/>
  <c r="U11" i="5"/>
  <c r="J11" i="5" s="1"/>
  <c r="M11" i="5" s="1"/>
  <c r="K12" i="7"/>
  <c r="R12" i="7"/>
  <c r="S12" i="7" s="1"/>
  <c r="U12" i="7" s="1"/>
  <c r="J12" i="7" s="1"/>
  <c r="M12" i="7" s="1"/>
  <c r="O12" i="6"/>
  <c r="R14" i="8"/>
  <c r="S14" i="8" s="1"/>
  <c r="E69" i="6"/>
  <c r="O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N30" i="3"/>
  <c r="D10" i="9"/>
  <c r="G11" i="13"/>
  <c r="E10" i="9"/>
  <c r="I11" i="13"/>
  <c r="D9" i="9"/>
  <c r="G10" i="13"/>
  <c r="E14" i="9"/>
  <c r="I15" i="13"/>
  <c r="T11" i="6"/>
  <c r="F29" i="8"/>
  <c r="M68" i="8"/>
  <c r="F30" i="8"/>
  <c r="F31" i="8"/>
  <c r="T11" i="2"/>
  <c r="K11" i="2"/>
  <c r="R11" i="2"/>
  <c r="S11" i="2"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R15" i="6" l="1"/>
  <c r="S15" i="6" s="1"/>
  <c r="U15" i="6" s="1"/>
  <c r="J15" i="6" s="1"/>
  <c r="M15" i="6" s="1"/>
  <c r="G15" i="6" s="1"/>
  <c r="D15" i="8"/>
  <c r="Q15" i="8"/>
  <c r="R15" i="8" s="1"/>
  <c r="S15" i="8" s="1"/>
  <c r="L13" i="3"/>
  <c r="P14" i="16" s="1"/>
  <c r="F32" i="8"/>
  <c r="O12" i="8"/>
  <c r="E69" i="8"/>
  <c r="Q12" i="8"/>
  <c r="U13" i="8"/>
  <c r="J13" i="8" s="1"/>
  <c r="M13" i="8" s="1"/>
  <c r="G13" i="8" s="1"/>
  <c r="K14" i="16" s="1"/>
  <c r="M14" i="13"/>
  <c r="F35" i="8"/>
  <c r="R12" i="6"/>
  <c r="S12" i="6" s="1"/>
  <c r="K15" i="6"/>
  <c r="L13" i="6"/>
  <c r="R14" i="16" s="1"/>
  <c r="K12" i="6"/>
  <c r="T15" i="6"/>
  <c r="L12" i="7"/>
  <c r="S13" i="16" s="1"/>
  <c r="T12" i="6"/>
  <c r="L11" i="5"/>
  <c r="Q12" i="16" s="1"/>
  <c r="U14" i="8"/>
  <c r="J14" i="8" s="1"/>
  <c r="N30" i="8" s="1"/>
  <c r="M13" i="9"/>
  <c r="U14" i="13"/>
  <c r="U12" i="13"/>
  <c r="M11" i="9"/>
  <c r="T13" i="2"/>
  <c r="U8" i="6"/>
  <c r="J8" i="6" s="1"/>
  <c r="M8" i="6" s="1"/>
  <c r="G8" i="6" s="1"/>
  <c r="M9" i="13" s="1"/>
  <c r="R13" i="2"/>
  <c r="S13" i="2" s="1"/>
  <c r="T15" i="8"/>
  <c r="V11" i="13"/>
  <c r="G14" i="9"/>
  <c r="R10" i="7"/>
  <c r="S10" i="7" s="1"/>
  <c r="U10" i="7" s="1"/>
  <c r="J10" i="7" s="1"/>
  <c r="T11" i="7"/>
  <c r="T10" i="7"/>
  <c r="L8" i="2"/>
  <c r="N9"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N14" i="9"/>
  <c r="L13" i="7"/>
  <c r="S14" i="16" s="1"/>
  <c r="M9" i="3"/>
  <c r="G9" i="3" s="1"/>
  <c r="I10" i="13" s="1"/>
  <c r="I14" i="13"/>
  <c r="I14" i="16"/>
  <c r="G12" i="13"/>
  <c r="G12" i="16"/>
  <c r="N9" i="9"/>
  <c r="P10" i="16"/>
  <c r="M14" i="7"/>
  <c r="N30" i="7"/>
  <c r="L14" i="7"/>
  <c r="S15" i="16" s="1"/>
  <c r="L8" i="7"/>
  <c r="S9" i="16" s="1"/>
  <c r="O13" i="9"/>
  <c r="V14" i="13"/>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K12" i="8" l="1"/>
  <c r="L15" i="6"/>
  <c r="R16" i="16" s="1"/>
  <c r="R12" i="8"/>
  <c r="S12" i="8" s="1"/>
  <c r="U12" i="8" s="1"/>
  <c r="J12" i="8" s="1"/>
  <c r="M12" i="8" s="1"/>
  <c r="G12" i="8" s="1"/>
  <c r="K13" i="16" s="1"/>
  <c r="U12" i="6"/>
  <c r="J12" i="6" s="1"/>
  <c r="L12" i="6" s="1"/>
  <c r="R13" i="16" s="1"/>
  <c r="N13" i="9"/>
  <c r="X14" i="13"/>
  <c r="T12" i="8"/>
  <c r="L13" i="8"/>
  <c r="T14" i="16" s="1"/>
  <c r="Q14" i="13"/>
  <c r="I13" i="9"/>
  <c r="U13" i="2"/>
  <c r="J13" i="2" s="1"/>
  <c r="M13" i="2" s="1"/>
  <c r="G13" i="2" s="1"/>
  <c r="E14" i="16" s="1"/>
  <c r="P13" i="9"/>
  <c r="W12" i="13"/>
  <c r="Q12" i="9"/>
  <c r="Y13" i="13"/>
  <c r="O11" i="9"/>
  <c r="L14" i="8"/>
  <c r="T15" i="16" s="1"/>
  <c r="M14" i="8"/>
  <c r="G14" i="8" s="1"/>
  <c r="K15" i="16" s="1"/>
  <c r="L8" i="6"/>
  <c r="R9" i="16" s="1"/>
  <c r="L10" i="7"/>
  <c r="S11" i="16" s="1"/>
  <c r="X16" i="13"/>
  <c r="L15" i="5"/>
  <c r="Q16" i="16" s="1"/>
  <c r="T9" i="13"/>
  <c r="L8" i="9"/>
  <c r="X15" i="13"/>
  <c r="P14" i="9"/>
  <c r="G8" i="9"/>
  <c r="Q14" i="9"/>
  <c r="Y15" i="13"/>
  <c r="Y14" i="13"/>
  <c r="E9" i="13"/>
  <c r="Q13" i="9"/>
  <c r="L10" i="2"/>
  <c r="N11" i="16" s="1"/>
  <c r="M10" i="7"/>
  <c r="L11" i="6"/>
  <c r="R12" i="16" s="1"/>
  <c r="V16" i="13"/>
  <c r="N15" i="9"/>
  <c r="I10" i="16"/>
  <c r="C8" i="9"/>
  <c r="E9" i="9"/>
  <c r="G11" i="9"/>
  <c r="M12" i="13"/>
  <c r="G15" i="9"/>
  <c r="M16" i="13"/>
  <c r="Y9" i="13"/>
  <c r="M12" i="2"/>
  <c r="G12" i="2" s="1"/>
  <c r="C12" i="9" s="1"/>
  <c r="Q8" i="9"/>
  <c r="L15" i="2"/>
  <c r="N16" i="16" s="1"/>
  <c r="L11" i="2"/>
  <c r="N12" i="16" s="1"/>
  <c r="M12" i="4"/>
  <c r="G12" i="4" s="1"/>
  <c r="M9" i="2"/>
  <c r="G9" i="2" s="1"/>
  <c r="L9" i="7"/>
  <c r="S10" i="16" s="1"/>
  <c r="L14" i="2"/>
  <c r="N15" i="16" s="1"/>
  <c r="N30" i="2"/>
  <c r="C14" i="9"/>
  <c r="E15" i="13"/>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M12" i="6" l="1"/>
  <c r="G12" i="6" s="1"/>
  <c r="M13" i="13" s="1"/>
  <c r="P15" i="9"/>
  <c r="R13" i="9"/>
  <c r="Z14" i="13"/>
  <c r="L13" i="2"/>
  <c r="N14" i="16" s="1"/>
  <c r="C13" i="9"/>
  <c r="E14" i="13"/>
  <c r="R14" i="9"/>
  <c r="X13" i="13"/>
  <c r="L12" i="8"/>
  <c r="T13" i="16" s="1"/>
  <c r="P12" i="9"/>
  <c r="Z15" i="13"/>
  <c r="I14" i="9"/>
  <c r="Q15" i="13"/>
  <c r="P8" i="9"/>
  <c r="X9" i="13"/>
  <c r="Q10" i="9"/>
  <c r="Y11" i="13"/>
  <c r="O15" i="9"/>
  <c r="W16" i="13"/>
  <c r="L10" i="9"/>
  <c r="X12" i="13"/>
  <c r="T11" i="13"/>
  <c r="L15" i="9"/>
  <c r="P11" i="9"/>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G12" i="9" l="1"/>
  <c r="L13" i="9"/>
  <c r="T14" i="13"/>
  <c r="Z13" i="13"/>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<sst xmlns="http://schemas.openxmlformats.org/spreadsheetml/2006/main" count="654" uniqueCount="141">
  <si>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</si>
  <si>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</si>
  <si>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</si>
  <si>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</si>
  <si>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</si>
  <si>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</si>
  <si>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</si>
  <si>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</si>
  <si>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</si>
  <si>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</si>
  <si>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</si>
  <si>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</si>
  <si>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</si>
  <si>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</si>
  <si>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</si>
  <si>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</si>
  <si>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</si>
  <si>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</si>
  <si>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</si>
  <si>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</si>
  <si>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</si>
  <si>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</si>
  <si>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</si>
  <si>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</si>
  <si>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</si>
  <si>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</si>
  <si>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</si>
  <si>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</si>
  <si>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</si>
  <si>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</si>
  <si>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</si>
  <si>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</si>
  <si>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</si>
  <si>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</si>
  <si>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</si>
  <si>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</si>
  <si>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</si>
  <si>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</si>
  <si>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</si>
  <si>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</si>
  <si>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</si>
  <si>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</si>
  <si>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</si>
  <si>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</si>
  <si>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</si>
  <si>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</si>
  <si>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</si>
  <si>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</si>
  <si>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</si>
  <si>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</si>
  <si>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</si>
  <si>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</si>
  <si>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</si>
  <si>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</si>
  <si>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</si>
  <si>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</si>
  <si>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</si>
  <si>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</si>
  <si>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</si>
  <si>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</si>
  <si>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</si>
  <si>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</si>
  <si>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</si>
  <si>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</si>
  <si>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</si>
  <si>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</si>
  <si>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</si>
  <si>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</si>
  <si>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</si>
  <si>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</si>
  <si>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</si>
  <si>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</si>
  <si>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</si>
  <si>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</si>
  <si>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</si>
  <si>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</si>
  <si>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</si>
  <si>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</si>
  <si>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</si>
  <si>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</si>
  <si>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</si>
  <si>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</si>
  <si>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</si>
  <si>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</si>
  <si>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</si>
  <si>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</si>
  <si>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</si>
  <si>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</si>
  <si>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</si>
  <si>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</si>
  <si>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</si>
  <si>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</si>
  <si>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</si>
  <si>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</si>
  <si>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</si>
  <si>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</si>
  <si>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</si>
  <si>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</si>
  <si>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</si>
  <si>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</si>
  <si>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</si>
  <si>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</si>
  <si>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</si>
  <si>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</si>
  <si>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</si>
  <si>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</si>
  <si>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</si>
  <si>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</si>
  <si>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</si>
  <si>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</si>
  <si>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</si>
  <si>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</si>
  <si>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</si>
  <si>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</si>
  <si>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</si>
  <si>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</si>
  <si>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</si>
  <si>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</si>
  <si>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</si>
  <si>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</si>
  <si>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</si>
  <si>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</si>
  <si>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</si>
  <si>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</si>
  <si>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</si>
  <si>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</si>
  <si>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</si>
  <si>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</si>
  <si>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</si>
  <si>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</si>
  <si>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</si>
  <si>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</si>
  <si>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</si>
  <si>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</si>
  <si>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</si>
  <si>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</si>
  <si>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Arenac</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</si>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</sst>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Arenac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N=32</c:v>
                </c:pt>
                <c:pt idx="3">
                  <c:v>Petitions, total N=37</c:v>
                </c:pt>
                <c:pt idx="4">
                  <c:v>Detentions, total N=0</c:v>
                </c:pt>
                <c:pt idx="5">
                  <c:v>Referrals, total N=48</c:v>
                </c:pt>
                <c:pt idx="6">
                  <c:v>Arrests, total N=6</c:v>
                </c:pt>
                <c:pt idx="7">
                  <c:v>Population, total N=1319</c:v>
                </c:pt>
              </c:strCache>
            </c:strRef>
          </c:cat>
          <c:val>
            <c:numRef>
              <c:f>'Stacked 100%'!$B$7:$B$14</c:f>
              <c:numCache>
                <c:formatCode>0%</c:formatCode>
                <c:ptCount val="8"/>
                <c:pt idx="0">
                  <c:v>0</c:v>
                </c:pt>
                <c:pt idx="1">
                  <c:v>0</c:v>
                </c:pt>
                <c:pt idx="2">
                  <c:v>0</c:v>
                </c:pt>
                <c:pt idx="3">
                  <c:v>0</c:v>
                </c:pt>
                <c:pt idx="4">
                  <c:v>0</c:v>
                </c:pt>
                <c:pt idx="5">
                  <c:v>0</c:v>
                </c:pt>
                <c:pt idx="6">
                  <c:v>0</c:v>
                </c:pt>
                <c:pt idx="7">
                  <c:v>2.8809704321455649E-2</c:v>
                </c:pt>
              </c:numCache>
            </c:numRef>
          </c:val>
          <c:extLst>
            <c:ext xmlns:c16="http://schemas.microsoft.com/office/drawing/2014/chart" uri="{C3380CC4-5D6E-409C-BE32-E72D297353CC}">
              <c16:uniqueId val="{00000000-1F90-433F-8EBF-E98B8CF4E2AE}"/>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N=32</c:v>
                </c:pt>
                <c:pt idx="3">
                  <c:v>Petitions, total N=37</c:v>
                </c:pt>
                <c:pt idx="4">
                  <c:v>Detentions, total N=0</c:v>
                </c:pt>
                <c:pt idx="5">
                  <c:v>Referrals, total N=48</c:v>
                </c:pt>
                <c:pt idx="6">
                  <c:v>Arrests, total N=6</c:v>
                </c:pt>
                <c:pt idx="7">
                  <c:v>Population, total N=1319</c:v>
                </c:pt>
              </c:strCache>
            </c:strRef>
          </c:cat>
          <c:val>
            <c:numRef>
              <c:f>'Stacked 100%'!$C$7:$C$14</c:f>
              <c:numCache>
                <c:formatCode>0%</c:formatCode>
                <c:ptCount val="8"/>
                <c:pt idx="0">
                  <c:v>0</c:v>
                </c:pt>
                <c:pt idx="1">
                  <c:v>0</c:v>
                </c:pt>
                <c:pt idx="2">
                  <c:v>0</c:v>
                </c:pt>
                <c:pt idx="3">
                  <c:v>0</c:v>
                </c:pt>
                <c:pt idx="4">
                  <c:v>0</c:v>
                </c:pt>
                <c:pt idx="5">
                  <c:v>0</c:v>
                </c:pt>
                <c:pt idx="6">
                  <c:v>0</c:v>
                </c:pt>
                <c:pt idx="7">
                  <c:v>2.7293404094010616E-2</c:v>
                </c:pt>
              </c:numCache>
            </c:numRef>
          </c:val>
          <c:extLst>
            <c:ext xmlns:c16="http://schemas.microsoft.com/office/drawing/2014/chart" uri="{C3380CC4-5D6E-409C-BE32-E72D297353CC}">
              <c16:uniqueId val="{00000001-1F90-433F-8EBF-E98B8CF4E2AE}"/>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N=32</c:v>
                </c:pt>
                <c:pt idx="3">
                  <c:v>Petitions, total N=37</c:v>
                </c:pt>
                <c:pt idx="4">
                  <c:v>Detentions, total N=0</c:v>
                </c:pt>
                <c:pt idx="5">
                  <c:v>Referrals, total N=48</c:v>
                </c:pt>
                <c:pt idx="6">
                  <c:v>Arrests, total N=6</c:v>
                </c:pt>
                <c:pt idx="7">
                  <c:v>Population, total N=1319</c:v>
                </c:pt>
              </c:strCache>
            </c:strRef>
          </c:cat>
          <c:val>
            <c:numRef>
              <c:f>'Stacked 100%'!$H$7:$H$14</c:f>
              <c:numCache>
                <c:formatCode>0%</c:formatCode>
                <c:ptCount val="8"/>
                <c:pt idx="0">
                  <c:v>0</c:v>
                </c:pt>
                <c:pt idx="1">
                  <c:v>0</c:v>
                </c:pt>
                <c:pt idx="2">
                  <c:v>0</c:v>
                </c:pt>
                <c:pt idx="3">
                  <c:v>0</c:v>
                </c:pt>
                <c:pt idx="4">
                  <c:v>0</c:v>
                </c:pt>
                <c:pt idx="5">
                  <c:v>0</c:v>
                </c:pt>
                <c:pt idx="6">
                  <c:v>0</c:v>
                </c:pt>
                <c:pt idx="7">
                  <c:v>1.4944581468374106E-5</c:v>
                </c:pt>
              </c:numCache>
            </c:numRef>
          </c:val>
          <c:extLst>
            <c:ext xmlns:c16="http://schemas.microsoft.com/office/drawing/2014/chart" uri="{C3380CC4-5D6E-409C-BE32-E72D297353CC}">
              <c16:uniqueId val="{00000002-1F90-433F-8EBF-E98B8CF4E2AE}"/>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N=32</c:v>
                </c:pt>
                <c:pt idx="3">
                  <c:v>Petitions, total N=37</c:v>
                </c:pt>
                <c:pt idx="4">
                  <c:v>Detentions, total N=0</c:v>
                </c:pt>
                <c:pt idx="5">
                  <c:v>Referrals, total N=48</c:v>
                </c:pt>
                <c:pt idx="6">
                  <c:v>Arrests, total N=6</c:v>
                </c:pt>
                <c:pt idx="7">
                  <c:v>Population, total N=1319</c:v>
                </c:pt>
              </c:strCache>
            </c:strRef>
          </c:cat>
          <c:val>
            <c:numRef>
              <c:f>'Stacked 100%'!$I$7:$I$14</c:f>
              <c:numCache>
                <c:formatCode>0%</c:formatCode>
                <c:ptCount val="8"/>
                <c:pt idx="0">
                  <c:v>0</c:v>
                </c:pt>
                <c:pt idx="1">
                  <c:v>0</c:v>
                </c:pt>
                <c:pt idx="2">
                  <c:v>0.4375</c:v>
                </c:pt>
                <c:pt idx="3">
                  <c:v>0.45945945945945948</c:v>
                </c:pt>
                <c:pt idx="4">
                  <c:v>0</c:v>
                </c:pt>
                <c:pt idx="5">
                  <c:v>0.4375</c:v>
                </c:pt>
                <c:pt idx="6">
                  <c:v>0.66666666666666663</c:v>
                </c:pt>
                <c:pt idx="7">
                  <c:v>0.92418498862774834</c:v>
                </c:pt>
              </c:numCache>
            </c:numRef>
          </c:val>
          <c:extLst>
            <c:ext xmlns:c16="http://schemas.microsoft.com/office/drawing/2014/chart" uri="{C3380CC4-5D6E-409C-BE32-E72D297353CC}">
              <c16:uniqueId val="{00000003-1F90-433F-8EBF-E98B8CF4E2AE}"/>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N=32</c:v>
                </c:pt>
                <c:pt idx="3">
                  <c:v>Petitions, total N=37</c:v>
                </c:pt>
                <c:pt idx="4">
                  <c:v>Detentions, total N=0</c:v>
                </c:pt>
                <c:pt idx="5">
                  <c:v>Referrals, total N=48</c:v>
                </c:pt>
                <c:pt idx="6">
                  <c:v>Arrests, total N=6</c:v>
                </c:pt>
                <c:pt idx="7">
                  <c:v>Population, total N=1319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1F90-433F-8EBF-E98B8CF4E2AE}"/>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Normal="100" workbookViewId="0">
      <selection activeCell="C14" sqref="C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1319</v>
      </c>
      <c r="C6" s="11">
        <v>1219</v>
      </c>
      <c r="D6" s="11">
        <v>38</v>
      </c>
      <c r="E6" s="11">
        <v>36</v>
      </c>
      <c r="F6" s="11">
        <v>5</v>
      </c>
      <c r="G6" s="11"/>
      <c r="H6" s="11">
        <v>21</v>
      </c>
      <c r="I6" s="11"/>
      <c r="J6" s="91">
        <f>SUM(D6:I6)</f>
        <v>100</v>
      </c>
      <c r="K6" s="92"/>
    </row>
    <row r="7" spans="1:11" ht="15.75" customHeight="1" thickBot="1">
      <c r="A7" s="10" t="s">
        <v>8</v>
      </c>
      <c r="B7" s="11">
        <f t="shared" ref="B7:B15" si="0">SUM(C7:I7)+K7</f>
        <v>6</v>
      </c>
      <c r="C7" s="11">
        <v>4</v>
      </c>
      <c r="D7" s="11">
        <v>0</v>
      </c>
      <c r="E7" s="11">
        <v>0</v>
      </c>
      <c r="F7" s="11">
        <v>0</v>
      </c>
      <c r="G7" s="11">
        <v>0</v>
      </c>
      <c r="H7" s="11">
        <v>0</v>
      </c>
      <c r="I7" s="11"/>
      <c r="J7" s="91">
        <f t="shared" ref="J7:J15" si="1">SUM(D7:I7)</f>
        <v>0</v>
      </c>
      <c r="K7" s="92">
        <v>2</v>
      </c>
    </row>
    <row r="8" spans="1:11" ht="15.75" customHeight="1" thickBot="1">
      <c r="A8" s="10" t="s">
        <v>9</v>
      </c>
      <c r="B8" s="11">
        <f t="shared" si="0"/>
        <v>48</v>
      </c>
      <c r="C8" s="11">
        <v>21</v>
      </c>
      <c r="D8" s="11"/>
      <c r="E8" s="11"/>
      <c r="F8" s="11"/>
      <c r="G8" s="11"/>
      <c r="H8" s="11"/>
      <c r="I8" s="11"/>
      <c r="J8" s="91">
        <f t="shared" si="1"/>
        <v>0</v>
      </c>
      <c r="K8" s="92">
        <v>27</v>
      </c>
    </row>
    <row r="9" spans="1:11" ht="15.75" customHeight="1" thickBot="1">
      <c r="A9" s="10" t="s">
        <v>10</v>
      </c>
      <c r="B9" s="11">
        <f t="shared" si="0"/>
        <v>6</v>
      </c>
      <c r="C9" s="11">
        <v>3</v>
      </c>
      <c r="D9" s="11"/>
      <c r="E9" s="11"/>
      <c r="F9" s="11"/>
      <c r="G9" s="11"/>
      <c r="H9" s="11"/>
      <c r="I9" s="11"/>
      <c r="J9" s="91">
        <f t="shared" si="1"/>
        <v>0</v>
      </c>
      <c r="K9" s="92">
        <v>3</v>
      </c>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37</v>
      </c>
      <c r="C11" s="11">
        <v>17</v>
      </c>
      <c r="D11" s="11"/>
      <c r="E11" s="11"/>
      <c r="F11" s="11"/>
      <c r="G11" s="11"/>
      <c r="H11" s="11"/>
      <c r="I11" s="11"/>
      <c r="J11" s="91">
        <f t="shared" si="1"/>
        <v>0</v>
      </c>
      <c r="K11" s="92">
        <v>20</v>
      </c>
    </row>
    <row r="12" spans="1:11" ht="15.75" customHeight="1" thickBot="1">
      <c r="A12" s="10" t="s">
        <v>13</v>
      </c>
      <c r="B12" s="11">
        <f t="shared" si="0"/>
        <v>32</v>
      </c>
      <c r="C12" s="11">
        <v>14</v>
      </c>
      <c r="D12" s="11"/>
      <c r="E12" s="11"/>
      <c r="F12" s="11"/>
      <c r="G12" s="11"/>
      <c r="H12" s="11"/>
      <c r="I12" s="11"/>
      <c r="J12" s="91">
        <f t="shared" si="1"/>
        <v>0</v>
      </c>
      <c r="K12" s="92">
        <v>18</v>
      </c>
    </row>
    <row r="13" spans="1:11" ht="15.75" customHeight="1" thickBot="1">
      <c r="A13" s="10" t="s">
        <v>133</v>
      </c>
      <c r="B13" s="11">
        <f t="shared" si="0"/>
        <v>1</v>
      </c>
      <c r="C13" s="11"/>
      <c r="D13" s="11"/>
      <c r="E13" s="11"/>
      <c r="F13" s="11"/>
      <c r="G13" s="11"/>
      <c r="H13" s="11"/>
      <c r="I13" s="11"/>
      <c r="J13" s="91">
        <f t="shared" si="1"/>
        <v>0</v>
      </c>
      <c r="K13" s="92">
        <v>1</v>
      </c>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Arenac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1219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3.2813781788351104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v>
      </c>
      <c r="Q7" s="42">
        <f>C6-C7</f>
        <v>1215</v>
      </c>
      <c r="R7" s="42">
        <f t="shared" ref="R7:R15" si="5">SUM(N7:Q7)</f>
        <v>1219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21</v>
      </c>
      <c r="D8" s="34">
        <f>IF((AND(C67&gt;0,C8&gt;0)),(C8/C67),0)</f>
        <v>525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21</v>
      </c>
      <c r="Q8" s="42">
        <f>(C$67*L67)-C8</f>
        <v>-17</v>
      </c>
      <c r="R8" s="42">
        <f t="shared" si="5"/>
        <v>4.0500000000000007</v>
      </c>
      <c r="S8" s="30">
        <f t="shared" si="6"/>
        <v>4.4651250000000013</v>
      </c>
      <c r="T8" s="30">
        <f t="shared" si="7"/>
        <v>-71.19</v>
      </c>
      <c r="U8" s="31">
        <f t="shared" si="8"/>
        <v>-6.272123893805312E-2</v>
      </c>
    </row>
    <row r="9" spans="2:21" ht="18" customHeight="1">
      <c r="B9" s="32" t="str">
        <f>'Data Entry'!A9</f>
        <v xml:space="preserve">4. Cases Diverted </v>
      </c>
      <c r="C9" s="33">
        <f>'Data Entry'!C9</f>
        <v>3</v>
      </c>
      <c r="D9" s="34">
        <f>IF((AND(C68&gt;0,C9&gt;0)),((C9/C68)),0)</f>
        <v>14.285714285714286</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18</v>
      </c>
      <c r="R9" s="42">
        <f t="shared" si="5"/>
        <v>21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21</v>
      </c>
      <c r="R10" s="42">
        <f t="shared" si="5"/>
        <v>21</v>
      </c>
      <c r="S10" s="30">
        <f t="shared" si="6"/>
        <v>0</v>
      </c>
      <c r="T10" s="30">
        <f t="shared" si="7"/>
        <v>0</v>
      </c>
      <c r="U10" s="31" t="str">
        <f t="shared" si="8"/>
        <v>- -</v>
      </c>
    </row>
    <row r="11" spans="2:21" ht="18" customHeight="1">
      <c r="B11" s="32" t="str">
        <f>'Data Entry'!A11</f>
        <v>6. Cases Petitioned (Charge Filed)</v>
      </c>
      <c r="C11" s="33">
        <f>'Data Entry'!C11</f>
        <v>17</v>
      </c>
      <c r="D11" s="34">
        <f>IF(((AND(C68&gt;0,C11&gt;0))),(C11/(C68)),0)</f>
        <v>80.952380952380949</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4</v>
      </c>
      <c r="R11" s="42">
        <f t="shared" si="5"/>
        <v>21</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82.35294117647058</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3</v>
      </c>
      <c r="R12" s="42">
        <f t="shared" si="5"/>
        <v>17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14.000000000000002</v>
      </c>
      <c r="R13" s="42">
        <f t="shared" si="5"/>
        <v>14.000000000000002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1.2190000000000001</v>
      </c>
      <c r="D42" s="56">
        <f>E6/1000</f>
        <v>0</v>
      </c>
      <c r="E42" s="56">
        <f>MAX(C42:D42)</f>
        <v>1.2190000000000001</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0.21</v>
      </c>
      <c r="D44" s="56">
        <f>E8/100</f>
        <v>0</v>
      </c>
      <c r="E44" s="56">
        <f>MAX(C44:D44,0)</f>
        <v>0.21</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1.2190000000000001</v>
      </c>
      <c r="D48" s="56">
        <f>D42</f>
        <v>0</v>
      </c>
      <c r="E48" s="56">
        <f>MAX(C48:D48)</f>
        <v>1.2190000000000001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1.2190000000000001</v>
      </c>
      <c r="D54" s="56">
        <f>D48</f>
        <v>0</v>
      </c>
      <c r="E54" s="56">
        <f>MAX(C54:D54)</f>
        <v>1.2190000000000001</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1.2190000000000001</v>
      </c>
      <c r="D60" s="56">
        <f>D54</f>
        <v>0</v>
      </c>
      <c r="E60" s="56">
        <f>MAX(C60:D60)</f>
        <v>1.2190000000000001</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1.2190000000000001</v>
      </c>
      <c r="D66" s="56">
        <f>D60</f>
        <v>0</v>
      </c>
      <c r="E66" s="56">
        <f>MAX(C66:D66)</f>
        <v>1.2190000000000001</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Arenac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1219</v>
      </c>
      <c r="D6" s="34"/>
      <c r="E6" s="33">
        <f>'Data Entry'!J6</f>
        <v>100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3.2813781788351104</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100</v>
      </c>
      <c r="P7" s="42">
        <f t="shared" ref="P7:P15" si="4">C7</f>
        <v>4</v>
      </c>
      <c r="Q7" s="42">
        <f>C6-C7</f>
        <v>1215</v>
      </c>
      <c r="R7" s="42">
        <f t="shared" ref="R7:R15" si="5">SUM(N7:Q7)</f>
        <v>1319</v>
      </c>
      <c r="S7" s="30">
        <f t="shared" ref="S7:S15" si="6">R7*((((N7*Q7)-(O7*P7))^2))</f>
        <v>211040000</v>
      </c>
      <c r="T7" s="30">
        <f t="shared" ref="T7:T15" si="7">(N7+O7)*(P7+Q7)*(N7+P7)*(O7+Q7)</f>
        <v>641194000</v>
      </c>
      <c r="U7" s="31">
        <f t="shared" ref="U7:U15" si="8">IF((S7&gt;0),S7/T7,"- -")</f>
        <v>0.32913595573258642</v>
      </c>
    </row>
    <row r="8" spans="2:21" ht="18" customHeight="1">
      <c r="B8" s="32" t="str">
        <f>'Data Entry'!A8</f>
        <v>3. Refer to Juvenile Court</v>
      </c>
      <c r="C8" s="33">
        <f>'Data Entry'!C8</f>
        <v>21</v>
      </c>
      <c r="D8" s="34">
        <f>IF((AND(C67&gt;0,C8&gt;0)),(C8/C67),0)</f>
        <v>525</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21</v>
      </c>
      <c r="Q8" s="42">
        <f>(C$67*L67)-C8</f>
        <v>-17</v>
      </c>
      <c r="R8" s="42">
        <f t="shared" si="5"/>
        <v>4.0500000000000007</v>
      </c>
      <c r="S8" s="30">
        <f t="shared" si="6"/>
        <v>4.4651250000000013</v>
      </c>
      <c r="T8" s="30">
        <f t="shared" si="7"/>
        <v>-71.19</v>
      </c>
      <c r="U8" s="31">
        <f t="shared" si="8"/>
        <v>-6.272123893805312E-2</v>
      </c>
    </row>
    <row r="9" spans="2:21" ht="18" customHeight="1">
      <c r="B9" s="32" t="str">
        <f>'Data Entry'!A9</f>
        <v xml:space="preserve">4. Cases Diverted </v>
      </c>
      <c r="C9" s="33">
        <f>'Data Entry'!C9</f>
        <v>3</v>
      </c>
      <c r="D9" s="34">
        <f>IF((AND(C68&gt;0,C9&gt;0)),((C9/C68)),0)</f>
        <v>14.285714285714286</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18</v>
      </c>
      <c r="R9" s="42">
        <f t="shared" si="5"/>
        <v>21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21</v>
      </c>
      <c r="R10" s="42">
        <f t="shared" si="5"/>
        <v>21</v>
      </c>
      <c r="S10" s="30">
        <f t="shared" si="6"/>
        <v>0</v>
      </c>
      <c r="T10" s="30">
        <f t="shared" si="7"/>
        <v>0</v>
      </c>
      <c r="U10" s="31" t="str">
        <f t="shared" si="8"/>
        <v>- -</v>
      </c>
    </row>
    <row r="11" spans="2:21" ht="18" customHeight="1">
      <c r="B11" s="32" t="str">
        <f>'Data Entry'!A11</f>
        <v>6. Cases Petitioned (Charge Filed)</v>
      </c>
      <c r="C11" s="33">
        <f>'Data Entry'!C11</f>
        <v>17</v>
      </c>
      <c r="D11" s="34">
        <f>IF(((AND(C68&gt;0,C11&gt;0))),(C11/(C68)),0)</f>
        <v>80.952380952380949</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4</v>
      </c>
      <c r="R11" s="42">
        <f t="shared" si="5"/>
        <v>21</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82.35294117647058</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3</v>
      </c>
      <c r="R12" s="42">
        <f t="shared" si="5"/>
        <v>17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14.000000000000002</v>
      </c>
      <c r="R13" s="42">
        <f t="shared" si="5"/>
        <v>14.000000000000002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1.2190000000000001</v>
      </c>
      <c r="D42" s="56">
        <f>E6/1000</f>
        <v>0.1</v>
      </c>
      <c r="E42" s="56">
        <f>MAX(C42:D42)</f>
        <v>1.2190000000000001</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0.21</v>
      </c>
      <c r="D44" s="56">
        <f>E8/100</f>
        <v>0</v>
      </c>
      <c r="E44" s="56">
        <f>MAX(C44:D44,0)</f>
        <v>0.21</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1.2190000000000001</v>
      </c>
      <c r="D48" s="56">
        <f>D42</f>
        <v>0.1</v>
      </c>
      <c r="E48" s="56">
        <f>MAX(C48:D48)</f>
        <v>1.2190000000000001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1.2190000000000001</v>
      </c>
      <c r="D54" s="56">
        <f>D48</f>
        <v>0.1</v>
      </c>
      <c r="E54" s="56">
        <f>MAX(C54:D54)</f>
        <v>1.2190000000000001</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1.2190000000000001</v>
      </c>
      <c r="D60" s="56">
        <f>D54</f>
        <v>0.1</v>
      </c>
      <c r="E60" s="56">
        <f>MAX(C60:D60)</f>
        <v>1.2190000000000001</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1.2190000000000001</v>
      </c>
      <c r="D66" s="56">
        <f>D60</f>
        <v>0.1</v>
      </c>
      <c r="E66" s="56">
        <f>MAX(C66:D66)</f>
        <v>1.2190000000000001</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Arenac</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1319</v>
      </c>
      <c r="D3" s="57">
        <f>'Data Entry'!C6</f>
        <v>1219</v>
      </c>
      <c r="E3" s="57">
        <f>'Data Entry'!D6</f>
        <v>38</v>
      </c>
      <c r="F3" s="57">
        <f>'Data Entry'!E6</f>
        <v>36</v>
      </c>
      <c r="G3" s="57">
        <f>'Data Entry'!F6</f>
        <v>5</v>
      </c>
      <c r="H3" s="57">
        <f>'Data Entry'!G6</f>
        <v>0</v>
      </c>
      <c r="I3" s="57">
        <f>'Data Entry'!H6</f>
        <v>21</v>
      </c>
      <c r="J3" s="57">
        <f>'Data Entry'!I6</f>
        <v>0</v>
      </c>
      <c r="K3" s="57">
        <f>'Data Entry'!J6</f>
        <v>100</v>
      </c>
    </row>
    <row r="4" spans="2:11" ht="15" customHeight="1">
      <c r="B4" s="16" t="s">
        <v>8</v>
      </c>
      <c r="C4" s="1">
        <f>IF((C$3&gt;0),(1000*('Data Entry'!B7/'Data Entry'!B$6)), 0)</f>
        <v>4.5489006823351019</v>
      </c>
      <c r="D4" s="1">
        <f>IF((D$3&gt;0),(1000*('Data Entry'!C7/'Data Entry'!C$6)), 0)</f>
        <v>3.2813781788351108</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36.391205458680815</v>
      </c>
      <c r="D5" s="1">
        <f>IF((D$3&gt;0),(1000*('Data Entry'!C8/'Data Entry'!C$6)), 0)</f>
        <v>17.227235438884332</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4.5489006823351019</v>
      </c>
      <c r="D6" s="1">
        <f>IF((D$3&gt;0),(1000*('Data Entry'!C9/'Data Entry'!C$6)), 0)</f>
        <v>2.4610336341263332</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28.051554207733133</v>
      </c>
      <c r="D8" s="1">
        <f>IF((D$3&gt;0),(1000*('Data Entry'!C11/'Data Entry'!C$6)), 0)</f>
        <v>13.945857260049221</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24.260803639120546</v>
      </c>
      <c r="D9" s="1">
        <f>IF((D$3&gt;0),(1000*('Data Entry'!C12/'Data Entry'!C$6)), 0)</f>
        <v>11.484823625922887</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0.75815011372251706</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Arenac</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Arenac</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1219</v>
      </c>
      <c r="D7" s="104">
        <f>'Data Entry'!D6</f>
        <v>38</v>
      </c>
      <c r="E7" s="105"/>
      <c r="F7" s="106">
        <f>'Data Entry'!E6</f>
        <v>36</v>
      </c>
      <c r="G7" s="105"/>
      <c r="H7" s="106">
        <f>'Data Entry'!F6</f>
        <v>5</v>
      </c>
      <c r="I7" s="105"/>
      <c r="J7" s="106">
        <f>'Data Entry'!G6</f>
        <v>0</v>
      </c>
      <c r="K7" s="105"/>
      <c r="L7" s="106">
        <f>'Data Entry'!H6</f>
        <v>21</v>
      </c>
      <c r="M7" s="105"/>
      <c r="N7" s="106">
        <f>'Data Entry'!I6</f>
        <v>0</v>
      </c>
      <c r="O7" s="105"/>
      <c r="P7" s="106">
        <f>'Data Entry'!J6</f>
        <v>100</v>
      </c>
      <c r="Q7" s="107"/>
    </row>
    <row r="8" spans="2:26" s="1" customFormat="1" ht="15" customHeight="1">
      <c r="B8" s="142" t="s">
        <v>8</v>
      </c>
      <c r="C8" s="103">
        <f>'Data Entry'!C7</f>
        <v>4</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21</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c r="B10" s="142" t="s">
        <v>10</v>
      </c>
      <c r="C10" s="103">
        <f>'Data Entry'!C9</f>
        <v>3</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17</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14</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Arenac</v>
      </c>
    </row>
    <row r="6" spans="1:12">
      <c r="A6" s="135" t="str">
        <f>CONCATENATE("Percentage of Minorities at Stages of the Juvenile Justice System, ", A5, " 2024")</f>
        <v>Percentage of Minorities at Stages of the Juvenile Justice System, County: Arenac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12.190000000000001</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12.190000000000001</v>
      </c>
    </row>
    <row r="9" spans="1:12">
      <c r="A9" s="128" t="str">
        <f>CONCATENATE("Delinquent Findings, total N=", 'Data Entry'!B12)</f>
        <v>Delinquent Findings, total N=32</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0.4375</v>
      </c>
      <c r="K9" s="96" t="str">
        <f t="shared" si="0"/>
        <v>Delinquent Findings, total N=32</v>
      </c>
      <c r="L9">
        <f>I14/(SUM(B14:G14))</f>
        <v>12.190000000000001</v>
      </c>
    </row>
    <row r="10" spans="1:12">
      <c r="A10" s="128" t="str">
        <f>CONCATENATE("Petitions, total N=", 'Data Entry'!B11)</f>
        <v>Petitions, total N=37</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0.45945945945945948</v>
      </c>
      <c r="K10" s="96" t="str">
        <f t="shared" si="0"/>
        <v>Petitions, total N=37</v>
      </c>
      <c r="L10">
        <f>I14/(SUM(B14:G14))</f>
        <v>12.190000000000001</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12.190000000000001</v>
      </c>
    </row>
    <row r="12" spans="1:12">
      <c r="A12" s="128" t="str">
        <f>CONCATENATE("Referrals, total N=", 'Data Entry'!B8)</f>
        <v>Referrals, total N=48</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0.4375</v>
      </c>
      <c r="K12" s="96" t="str">
        <f t="shared" si="0"/>
        <v>Referrals, total N=48</v>
      </c>
      <c r="L12">
        <f>I14/(SUM(B14:G14))</f>
        <v>12.190000000000001</v>
      </c>
    </row>
    <row r="13" spans="1:12">
      <c r="A13" s="128" t="str">
        <f>CONCATENATE("Arrests, total N=", 'Data Entry'!B7)</f>
        <v>Arrests, total N=6</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0.66666666666666663</v>
      </c>
      <c r="K13" s="96" t="str">
        <f t="shared" si="0"/>
        <v>Arrests, total N=6</v>
      </c>
      <c r="L13">
        <f>I14/(SUM(B14:G14))</f>
        <v>12.190000000000001</v>
      </c>
    </row>
    <row r="14" spans="1:12">
      <c r="A14" s="128" t="str">
        <f>CONCATENATE("Population, total N=", 'Data Entry'!B6)</f>
        <v>Population, total N=1319</v>
      </c>
      <c r="B14" s="150">
        <f>'Data Entry'!D6/'Data Entry'!B6</f>
        <v>2.8809704321455649E-2</v>
      </c>
      <c r="C14" s="150">
        <f>'Data Entry'!E6/'Data Entry'!B6</f>
        <v>2.7293404094010616E-2</v>
      </c>
      <c r="D14" s="150">
        <f>'Data Entry'!F6/'Data Entry'!B6</f>
        <v>3.7907505686125853E-3</v>
      </c>
      <c r="E14" s="150">
        <f>'Data Entry'!G6/'Data Entry'!B6</f>
        <v>0</v>
      </c>
      <c r="F14" s="150">
        <f>'Data Entry'!H6/'Data Entry'!B6</f>
        <v>1.5921152388172859E-2</v>
      </c>
      <c r="G14" s="150">
        <f>'Data Entry'!I6/'Data Entry'!B6</f>
        <v>0</v>
      </c>
      <c r="H14" s="150">
        <f>SUM(D14:G14)/'Data Entry'!B6</f>
        <v>1.4944581468374106E-5</v>
      </c>
      <c r="I14" s="150">
        <f>'Data Entry'!C6/'Data Entry'!B6</f>
        <v>0.92418498862774834</v>
      </c>
      <c r="K14" s="96" t="str">
        <f t="shared" si="0"/>
        <v>Population, total N=1319</v>
      </c>
      <c r="L14">
        <f>I14/(SUM(B14:G14))</f>
        <v>12.190000000000001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Arenac</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1219</v>
      </c>
      <c r="D7" s="104">
        <f>'Data Entry'!D6</f>
        <v>38</v>
      </c>
      <c r="E7" s="105"/>
      <c r="F7" s="106">
        <f>'Data Entry'!E6</f>
        <v>36</v>
      </c>
      <c r="G7" s="105"/>
      <c r="H7" s="106">
        <f>'Data Entry'!F6</f>
        <v>5</v>
      </c>
      <c r="I7" s="105"/>
      <c r="J7" s="106">
        <f>'Data Entry'!J6</f>
        <v>100</v>
      </c>
      <c r="K7" s="107"/>
    </row>
    <row r="8" spans="2:30" s="1" customFormat="1" ht="15" customHeight="1">
      <c r="B8" s="121" t="s">
        <v>8</v>
      </c>
      <c r="C8" s="103">
        <f>'Data Entry'!C7</f>
        <v>4</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21</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c r="B10" s="121" t="s">
        <v>10</v>
      </c>
      <c r="C10" s="103">
        <f>'Data Entry'!C9</f>
        <v>3</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17</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14</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Arenac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1219</v>
      </c>
      <c r="D6" s="34"/>
      <c r="E6" s="33">
        <f>'Data Entry'!D6</f>
        <v>38</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3.2813781788351104</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38</v>
      </c>
      <c r="P7" s="42">
        <f t="shared" ref="P7:P15" si="2">C7</f>
        <v>4</v>
      </c>
      <c r="Q7" s="42">
        <f>C6-C7</f>
        <v>1215</v>
      </c>
      <c r="R7" s="42">
        <f t="shared" ref="R7:R15" si="3">SUM(N7:Q7)</f>
        <v>1257</v>
      </c>
      <c r="S7" s="30">
        <f t="shared" ref="S7:S15" si="4">R7*((((N7*Q7)-(O7*P7))^2))</f>
        <v>29041728</v>
      </c>
      <c r="T7" s="30">
        <f t="shared" ref="T7:T15" si="5">(N7+O7)*(P7+Q7)*(N7+P7)*(O7+Q7)</f>
        <v>232165864</v>
      </c>
      <c r="U7" s="31">
        <f t="shared" ref="U7:U15" si="6">IF((S7&gt;0),S7/T7,"- -")</f>
        <v>0.12509043103769985</v>
      </c>
    </row>
    <row r="8" spans="2:21" ht="18" customHeight="1">
      <c r="B8" s="32" t="str">
        <f>'Data Entry'!A8</f>
        <v>3. Refer to Juvenile Court</v>
      </c>
      <c r="C8" s="33">
        <f>'Data Entry'!C8</f>
        <v>21</v>
      </c>
      <c r="D8" s="34">
        <f>IF((AND(C67&gt;0,C8&gt;0)),(C8/C67),0)</f>
        <v>525</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21</v>
      </c>
      <c r="Q8" s="42">
        <f>(C$67*L67)-C8</f>
        <v>-17</v>
      </c>
      <c r="R8" s="42">
        <f t="shared" si="3"/>
        <v>4.0500000000000007</v>
      </c>
      <c r="S8" s="30">
        <f t="shared" si="4"/>
        <v>4.4651250000000013</v>
      </c>
      <c r="T8" s="30">
        <f t="shared" si="5"/>
        <v>-71.19</v>
      </c>
      <c r="U8" s="31">
        <f t="shared" si="6"/>
        <v>-6.272123893805312E-2</v>
      </c>
    </row>
    <row r="9" spans="2:21" ht="18" customHeight="1">
      <c r="B9" s="32" t="str">
        <f>'Data Entry'!A9</f>
        <v xml:space="preserve">4. Cases Diverted </v>
      </c>
      <c r="C9" s="33">
        <f>'Data Entry'!C9</f>
        <v>3</v>
      </c>
      <c r="D9" s="34">
        <f>IF((AND(C68&gt;0,C9&gt;0)),((C9/C68)),0)</f>
        <v>14.285714285714286</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3</v>
      </c>
      <c r="Q9" s="42">
        <f>(C$68*L68)-C9</f>
        <v>18</v>
      </c>
      <c r="R9" s="42">
        <f t="shared" si="3"/>
        <v>21</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21</v>
      </c>
      <c r="R10" s="42">
        <f t="shared" si="3"/>
        <v>21</v>
      </c>
      <c r="S10" s="30">
        <f t="shared" si="4"/>
        <v>0</v>
      </c>
      <c r="T10" s="30">
        <f t="shared" si="5"/>
        <v>0</v>
      </c>
      <c r="U10" s="31" t="str">
        <f t="shared" si="6"/>
        <v>- -</v>
      </c>
    </row>
    <row r="11" spans="2:21" ht="18" customHeight="1">
      <c r="B11" s="32" t="str">
        <f>'Data Entry'!A11</f>
        <v>6. Cases Petitioned (Charge Filed)</v>
      </c>
      <c r="C11" s="33">
        <f>'Data Entry'!C11</f>
        <v>17</v>
      </c>
      <c r="D11" s="34">
        <f>IF(((AND(C68&gt;0,C11&gt;0))),(C11/(C68)),0)</f>
        <v>80.952380952380949</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17</v>
      </c>
      <c r="Q11" s="42">
        <f>(C$68*L68)-C11</f>
        <v>4</v>
      </c>
      <c r="R11" s="42">
        <f t="shared" si="3"/>
        <v>21</v>
      </c>
      <c r="S11" s="30">
        <f t="shared" si="4"/>
        <v>0</v>
      </c>
      <c r="T11" s="30">
        <f t="shared" si="5"/>
        <v>0</v>
      </c>
      <c r="U11" s="31" t="str">
        <f t="shared" si="6"/>
        <v>- -</v>
      </c>
    </row>
    <row r="12" spans="2:21" ht="18" customHeight="1">
      <c r="B12" s="32" t="str">
        <f>'Data Entry'!A12</f>
        <v>7. Cases Resulting in Delinquent Findings</v>
      </c>
      <c r="C12" s="33">
        <f>'Data Entry'!C12</f>
        <v>14</v>
      </c>
      <c r="D12" s="34">
        <f>IF(((AND(C69&gt;0,C12&gt;0))),(C12/(C69)),0)</f>
        <v>82.35294117647058</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14</v>
      </c>
      <c r="Q12" s="42">
        <f>(C69*L69)-C12</f>
        <v>3</v>
      </c>
      <c r="R12" s="42">
        <f t="shared" si="3"/>
        <v>17</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14.000000000000002</v>
      </c>
      <c r="R13" s="42">
        <f t="shared" si="3"/>
        <v>14.000000000000002</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14.000000000000002</v>
      </c>
      <c r="R14" s="42">
        <f t="shared" si="3"/>
        <v>14.000000000000002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17</v>
      </c>
      <c r="R15" s="42">
        <f t="shared" si="3"/>
        <v>17</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1.2190000000000001</v>
      </c>
      <c r="D42" s="56">
        <f>E6/1000</f>
        <v>3.7999999999999999E-2</v>
      </c>
      <c r="E42" s="56">
        <f>MAX(C42:D42)</f>
        <v>1.2190000000000001</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0.21</v>
      </c>
      <c r="D44" s="56">
        <f>E8/100</f>
        <v>0</v>
      </c>
      <c r="E44" s="56">
        <f>MAX(C44:D44,0)</f>
        <v>0.21</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1.2190000000000001</v>
      </c>
      <c r="D48" s="56">
        <f>D42</f>
        <v>3.7999999999999999E-2</v>
      </c>
      <c r="E48" s="56">
        <f>MAX(C48:D48)</f>
        <v>1.2190000000000001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1.2190000000000001</v>
      </c>
      <c r="D54" s="56">
        <f>D48</f>
        <v>3.7999999999999999E-2</v>
      </c>
      <c r="E54" s="56">
        <f>MAX(C54:D54)</f>
        <v>1.2190000000000001</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1.2190000000000001</v>
      </c>
      <c r="D60" s="56">
        <f>D54</f>
        <v>3.7999999999999999E-2</v>
      </c>
      <c r="E60" s="56">
        <f>MAX(C60:D60)</f>
        <v>1.2190000000000001</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1.2190000000000001</v>
      </c>
      <c r="D66" s="56">
        <f>D60</f>
        <v>3.7999999999999999E-2</v>
      </c>
      <c r="E66" s="56">
        <f>MAX(C66:D66)</f>
        <v>1.2190000000000001</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Arenac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1219</v>
      </c>
      <c r="D6" s="34"/>
      <c r="E6" s="33">
        <f>'Data Entry'!F6</f>
        <v>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3.2813781788351104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v>
      </c>
      <c r="P7" s="42">
        <f t="shared" ref="P7:P15" si="4">C7</f>
        <v>4</v>
      </c>
      <c r="Q7" s="42">
        <f>C6-C7</f>
        <v>1215</v>
      </c>
      <c r="R7" s="42">
        <f t="shared" ref="R7:R15" si="5">SUM(N7:Q7)</f>
        <v>1224</v>
      </c>
      <c r="S7" s="30">
        <f t="shared" ref="S7:S15" si="6">R7*((((N7*Q7)-(O7*P7))^2))</f>
        <v>489600</v>
      </c>
      <c r="T7" s="30">
        <f t="shared" ref="T7:T15" si="7">(N7+O7)*(P7+Q7)*(N7+P7)*(O7+Q7)</f>
        <v>29743600</v>
      </c>
      <c r="U7" s="31">
        <f t="shared" ref="U7:U15" si="8">IF((S7&gt;0),S7/T7,"- -")</f>
        <v>1.6460683979074488E-2</v>
      </c>
    </row>
    <row r="8" spans="2:21" ht="18" customHeight="1">
      <c r="B8" s="32" t="str">
        <f>'Data Entry'!A8</f>
        <v>3. Refer to Juvenile Court</v>
      </c>
      <c r="C8" s="33">
        <f>'Data Entry'!C8</f>
        <v>21</v>
      </c>
      <c r="D8" s="34">
        <f>IF((AND(C67&gt;0,C8&gt;0)),(C8/C67),0)</f>
        <v>525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21</v>
      </c>
      <c r="Q8" s="42">
        <f>(C$67*L67)-C8</f>
        <v>-17</v>
      </c>
      <c r="R8" s="42">
        <f t="shared" si="5"/>
        <v>4.0500000000000007</v>
      </c>
      <c r="S8" s="30">
        <f t="shared" si="6"/>
        <v>4.4651250000000013</v>
      </c>
      <c r="T8" s="30">
        <f t="shared" si="7"/>
        <v>-71.19</v>
      </c>
      <c r="U8" s="31">
        <f t="shared" si="8"/>
        <v>-6.272123893805312E-2</v>
      </c>
    </row>
    <row r="9" spans="2:21" ht="18" customHeight="1">
      <c r="B9" s="32" t="str">
        <f>'Data Entry'!A9</f>
        <v xml:space="preserve">4. Cases Diverted </v>
      </c>
      <c r="C9" s="33">
        <f>'Data Entry'!C9</f>
        <v>3</v>
      </c>
      <c r="D9" s="34">
        <f>IF((AND(C68&gt;0,C9&gt;0)),((C9/C68)),0)</f>
        <v>14.285714285714286</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18</v>
      </c>
      <c r="R9" s="42">
        <f t="shared" si="5"/>
        <v>21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21</v>
      </c>
      <c r="R10" s="42">
        <f t="shared" si="5"/>
        <v>21</v>
      </c>
      <c r="S10" s="30">
        <f t="shared" si="6"/>
        <v>0</v>
      </c>
      <c r="T10" s="30">
        <f t="shared" si="7"/>
        <v>0</v>
      </c>
      <c r="U10" s="31" t="str">
        <f t="shared" si="8"/>
        <v>- -</v>
      </c>
    </row>
    <row r="11" spans="2:21" ht="18" customHeight="1">
      <c r="B11" s="32" t="str">
        <f>'Data Entry'!A11</f>
        <v>6. Cases Petitioned (Charge Filed)</v>
      </c>
      <c r="C11" s="33">
        <f>'Data Entry'!C11</f>
        <v>17</v>
      </c>
      <c r="D11" s="34">
        <f>IF(((AND(C68&gt;0,C11&gt;0))),(C11/(C68)),0)</f>
        <v>80.952380952380949</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4</v>
      </c>
      <c r="R11" s="42">
        <f t="shared" si="5"/>
        <v>21</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82.35294117647058</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3</v>
      </c>
      <c r="R12" s="42">
        <f t="shared" si="5"/>
        <v>17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14.000000000000002</v>
      </c>
      <c r="R13" s="42">
        <f t="shared" si="5"/>
        <v>14.000000000000002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1.2190000000000001</v>
      </c>
      <c r="D42" s="56">
        <f>E6/1000</f>
        <v>5.0000000000000001E-3</v>
      </c>
      <c r="E42" s="56">
        <f>MAX(C42:D42)</f>
        <v>1.2190000000000001</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0.21</v>
      </c>
      <c r="D44" s="56">
        <f>E8/100</f>
        <v>0</v>
      </c>
      <c r="E44" s="56">
        <f>MAX(C44:D44,0)</f>
        <v>0.21</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1.2190000000000001</v>
      </c>
      <c r="D48" s="56">
        <f>D42</f>
        <v>5.0000000000000001E-3</v>
      </c>
      <c r="E48" s="56">
        <f>MAX(C48:D48)</f>
        <v>1.2190000000000001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1.2190000000000001</v>
      </c>
      <c r="D54" s="56">
        <f>D48</f>
        <v>5.0000000000000001E-3</v>
      </c>
      <c r="E54" s="56">
        <f>MAX(C54:D54)</f>
        <v>1.2190000000000001</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1.2190000000000001</v>
      </c>
      <c r="D60" s="56">
        <f>D54</f>
        <v>5.0000000000000001E-3</v>
      </c>
      <c r="E60" s="56">
        <f>MAX(C60:D60)</f>
        <v>1.2190000000000001</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1.2190000000000001</v>
      </c>
      <c r="D66" s="56">
        <f>D60</f>
        <v>5.0000000000000001E-3</v>
      </c>
      <c r="E66" s="56">
        <f>MAX(C66:D66)</f>
        <v>1.2190000000000001</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Arenac</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1219</v>
      </c>
      <c r="D6" s="34"/>
      <c r="E6" s="33">
        <f>'Data Entry'!E6</f>
        <v>36</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3.2813781788351104</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36</v>
      </c>
      <c r="P7" s="42">
        <f t="shared" ref="P7:P15" si="4">C7</f>
        <v>4</v>
      </c>
      <c r="Q7" s="42">
        <f>C6-C7</f>
        <v>1215</v>
      </c>
      <c r="R7" s="42">
        <f t="shared" ref="R7:R15" si="5">SUM(N7:Q7)</f>
        <v>1255</v>
      </c>
      <c r="S7" s="30">
        <f t="shared" ref="S7:S15" si="6">R7*((((N7*Q7)-(O7*P7))^2))</f>
        <v>26023680</v>
      </c>
      <c r="T7" s="30">
        <f t="shared" ref="T7:T15" si="7">(N7+O7)*(P7+Q7)*(N7+P7)*(O7+Q7)</f>
        <v>219595536</v>
      </c>
      <c r="U7" s="31">
        <f t="shared" ref="U7:U15" si="8">IF((S7&gt;0),S7/T7,"- -")</f>
        <v>0.1185073270341889</v>
      </c>
    </row>
    <row r="8" spans="2:21" ht="18" customHeight="1">
      <c r="B8" s="32" t="str">
        <f>'Data Entry'!A8</f>
        <v>3. Refer to Juvenile Court</v>
      </c>
      <c r="C8" s="33">
        <f>'Data Entry'!C8</f>
        <v>21</v>
      </c>
      <c r="D8" s="34">
        <f>IF((AND(C67&gt;0,C8&gt;0)),(C8/C67),0)</f>
        <v>525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21</v>
      </c>
      <c r="Q8" s="42">
        <f>(C$67*L67)-C8</f>
        <v>-17</v>
      </c>
      <c r="R8" s="42">
        <f t="shared" si="5"/>
        <v>4.0500000000000007</v>
      </c>
      <c r="S8" s="30">
        <f t="shared" si="6"/>
        <v>4.4651250000000013</v>
      </c>
      <c r="T8" s="30">
        <f t="shared" si="7"/>
        <v>-71.19</v>
      </c>
      <c r="U8" s="31">
        <f t="shared" si="8"/>
        <v>-6.272123893805312E-2</v>
      </c>
    </row>
    <row r="9" spans="2:21" ht="18" customHeight="1">
      <c r="B9" s="32" t="str">
        <f>'Data Entry'!A9</f>
        <v xml:space="preserve">4. Cases Diverted </v>
      </c>
      <c r="C9" s="33">
        <f>'Data Entry'!C9</f>
        <v>3</v>
      </c>
      <c r="D9" s="34">
        <f>IF((AND(C68&gt;0,C9&gt;0)),((C9/C68)),0)</f>
        <v>14.285714285714286</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18</v>
      </c>
      <c r="R9" s="42">
        <f t="shared" si="5"/>
        <v>21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21</v>
      </c>
      <c r="R10" s="42">
        <f t="shared" si="5"/>
        <v>21</v>
      </c>
      <c r="S10" s="30">
        <f t="shared" si="6"/>
        <v>0</v>
      </c>
      <c r="T10" s="30">
        <f t="shared" si="7"/>
        <v>0</v>
      </c>
      <c r="U10" s="31" t="str">
        <f t="shared" si="8"/>
        <v>- -</v>
      </c>
    </row>
    <row r="11" spans="2:21" ht="18" customHeight="1">
      <c r="B11" s="32" t="str">
        <f>'Data Entry'!A11</f>
        <v>6. Cases Petitioned (Charge Filed)</v>
      </c>
      <c r="C11" s="33">
        <f>'Data Entry'!C11</f>
        <v>17</v>
      </c>
      <c r="D11" s="34">
        <f>IF(((AND(C68&gt;0,C11&gt;0))),(C11/(C68)),0)</f>
        <v>80.952380952380949</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4</v>
      </c>
      <c r="R11" s="42">
        <f t="shared" si="5"/>
        <v>21</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82.35294117647058</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3</v>
      </c>
      <c r="R12" s="42">
        <f t="shared" si="5"/>
        <v>17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14.000000000000002</v>
      </c>
      <c r="R13" s="42">
        <f t="shared" si="5"/>
        <v>14.000000000000002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1.2190000000000001</v>
      </c>
      <c r="D42" s="56">
        <f>E6/1000</f>
        <v>3.5999999999999997E-2</v>
      </c>
      <c r="E42" s="56">
        <f>MAX(C42:D42)</f>
        <v>1.2190000000000001</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0.21</v>
      </c>
      <c r="D44" s="56">
        <f>E8/100</f>
        <v>0</v>
      </c>
      <c r="E44" s="56">
        <f>MAX(C44:D44,0)</f>
        <v>0.21</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1.2190000000000001</v>
      </c>
      <c r="D48" s="56">
        <f>D42</f>
        <v>3.5999999999999997E-2</v>
      </c>
      <c r="E48" s="56">
        <f>MAX(C48:D48)</f>
        <v>1.2190000000000001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1.2190000000000001</v>
      </c>
      <c r="D54" s="56">
        <f>D48</f>
        <v>3.5999999999999997E-2</v>
      </c>
      <c r="E54" s="56">
        <f>MAX(C54:D54)</f>
        <v>1.2190000000000001</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1.2190000000000001</v>
      </c>
      <c r="D60" s="56">
        <f>D54</f>
        <v>3.5999999999999997E-2</v>
      </c>
      <c r="E60" s="56">
        <f>MAX(C60:D60)</f>
        <v>1.2190000000000001</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1.2190000000000001</v>
      </c>
      <c r="D66" s="56">
        <f>D60</f>
        <v>3.5999999999999997E-2</v>
      </c>
      <c r="E66" s="56">
        <f>MAX(C66:D66)</f>
        <v>1.2190000000000001</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Arenac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1219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3.2813781788351104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v>
      </c>
      <c r="Q7" s="42">
        <f>C6-C7</f>
        <v>1215</v>
      </c>
      <c r="R7" s="42">
        <f t="shared" ref="R7:R15" si="5">SUM(N7:Q7)</f>
        <v>1219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21</v>
      </c>
      <c r="D8" s="34">
        <f>IF((AND(C67&gt;0,C8&gt;0)),(C8/C67),0)</f>
        <v>525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21</v>
      </c>
      <c r="Q8" s="42">
        <f>(C$67*L67)-C8</f>
        <v>-17</v>
      </c>
      <c r="R8" s="42">
        <f t="shared" si="5"/>
        <v>4.0500000000000007</v>
      </c>
      <c r="S8" s="30">
        <f t="shared" si="6"/>
        <v>4.4651250000000013</v>
      </c>
      <c r="T8" s="30">
        <f t="shared" si="7"/>
        <v>-71.19</v>
      </c>
      <c r="U8" s="31">
        <f t="shared" si="8"/>
        <v>-6.272123893805312E-2</v>
      </c>
    </row>
    <row r="9" spans="2:21" ht="18" customHeight="1">
      <c r="B9" s="32" t="str">
        <f>'Data Entry'!A9</f>
        <v xml:space="preserve">4. Cases Diverted </v>
      </c>
      <c r="C9" s="33">
        <f>'Data Entry'!C9</f>
        <v>3</v>
      </c>
      <c r="D9" s="34">
        <f>IF((AND(C68&gt;0,C9&gt;0)),((C9/C68)),0)</f>
        <v>14.285714285714286</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18</v>
      </c>
      <c r="R9" s="42">
        <f t="shared" si="5"/>
        <v>21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21</v>
      </c>
      <c r="R10" s="42">
        <f t="shared" si="5"/>
        <v>21</v>
      </c>
      <c r="S10" s="30">
        <f t="shared" si="6"/>
        <v>0</v>
      </c>
      <c r="T10" s="30">
        <f t="shared" si="7"/>
        <v>0</v>
      </c>
      <c r="U10" s="31" t="str">
        <f t="shared" si="8"/>
        <v>- -</v>
      </c>
    </row>
    <row r="11" spans="2:21" ht="18" customHeight="1">
      <c r="B11" s="32" t="str">
        <f>'Data Entry'!A11</f>
        <v>6. Cases Petitioned (Charge Filed)</v>
      </c>
      <c r="C11" s="33">
        <f>'Data Entry'!C11</f>
        <v>17</v>
      </c>
      <c r="D11" s="34">
        <f>IF(((AND(C68&gt;0,C11&gt;0))),(C11/(C68)),0)</f>
        <v>80.952380952380949</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4</v>
      </c>
      <c r="R11" s="42">
        <f t="shared" si="5"/>
        <v>21</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82.35294117647058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3</v>
      </c>
      <c r="R12" s="42">
        <f t="shared" si="5"/>
        <v>17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14.000000000000002</v>
      </c>
      <c r="R13" s="42">
        <f t="shared" si="5"/>
        <v>14.000000000000002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1.2190000000000001</v>
      </c>
      <c r="D42" s="56">
        <f>E6/1000</f>
        <v>0</v>
      </c>
      <c r="E42" s="56">
        <f>MAX(C42:D42)</f>
        <v>1.2190000000000001</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0.21</v>
      </c>
      <c r="D44" s="56">
        <f>E8/100</f>
        <v>0</v>
      </c>
      <c r="E44" s="56">
        <f>MAX(C44:D44,0)</f>
        <v>0.21</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1.2190000000000001</v>
      </c>
      <c r="D48" s="56">
        <f>D42</f>
        <v>0</v>
      </c>
      <c r="E48" s="56">
        <f>MAX(C48:D48)</f>
        <v>1.2190000000000001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1.2190000000000001</v>
      </c>
      <c r="D54" s="56">
        <f>D48</f>
        <v>0</v>
      </c>
      <c r="E54" s="56">
        <f>MAX(C54:D54)</f>
        <v>1.2190000000000001</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1.2190000000000001</v>
      </c>
      <c r="D60" s="56">
        <f>D54</f>
        <v>0</v>
      </c>
      <c r="E60" s="56">
        <f>MAX(C60:D60)</f>
        <v>1.2190000000000001</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1.2190000000000001</v>
      </c>
      <c r="D66" s="56">
        <f>D60</f>
        <v>0</v>
      </c>
      <c r="E66" s="56">
        <f>MAX(C66:D66)</f>
        <v>1.2190000000000001</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Arenac</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1219</v>
      </c>
      <c r="D6" s="34"/>
      <c r="E6" s="33">
        <f>'Data Entry'!H6</f>
        <v>21</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4</v>
      </c>
      <c r="D7" s="34">
        <f>IF((AND(C66&gt;0,C7&gt;0)),(C7/C66),0)</f>
        <v>3.2813781788351104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21</v>
      </c>
      <c r="P7" s="42">
        <f t="shared" ref="P7:P15" si="4">C7</f>
        <v>4</v>
      </c>
      <c r="Q7" s="42">
        <f>C6-C7</f>
        <v>1215</v>
      </c>
      <c r="R7" s="42">
        <f t="shared" ref="R7:R15" si="5">SUM(N7:Q7)</f>
        <v>1240</v>
      </c>
      <c r="S7" s="30">
        <f t="shared" ref="S7:S15" si="6">R7*((((N7*Q7)-(O7*P7))^2))</f>
        <v>8749440</v>
      </c>
      <c r="T7" s="30">
        <f t="shared" ref="T7:T15" si="7">(N7+O7)*(P7+Q7)*(N7+P7)*(O7+Q7)</f>
        <v>126561456</v>
      </c>
      <c r="U7" s="31">
        <f t="shared" ref="U7:U15" si="8">IF((S7&gt;0),S7/T7,"- -")</f>
        <v>6.9131948039535832E-2</v>
      </c>
    </row>
    <row r="8" spans="2:21" ht="18" customHeight="1">
      <c r="B8" s="32" t="str">
        <f>'Data Entry'!A8</f>
        <v>3. Refer to Juvenile Court</v>
      </c>
      <c r="C8" s="33">
        <f>'Data Entry'!C8</f>
        <v>21</v>
      </c>
      <c r="D8" s="34">
        <f>IF((AND(C67&gt;0,C8&gt;0)),(C8/C67),0)</f>
        <v>525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21</v>
      </c>
      <c r="Q8" s="42">
        <f>(C$67*L67)-C8</f>
        <v>-17</v>
      </c>
      <c r="R8" s="42">
        <f t="shared" si="5"/>
        <v>4.0500000000000007</v>
      </c>
      <c r="S8" s="30">
        <f t="shared" si="6"/>
        <v>4.4651250000000013</v>
      </c>
      <c r="T8" s="30">
        <f t="shared" si="7"/>
        <v>-71.19</v>
      </c>
      <c r="U8" s="31">
        <f t="shared" si="8"/>
        <v>-6.272123893805312E-2</v>
      </c>
    </row>
    <row r="9" spans="2:21" ht="18" customHeight="1">
      <c r="B9" s="32" t="str">
        <f>'Data Entry'!A9</f>
        <v xml:space="preserve">4. Cases Diverted </v>
      </c>
      <c r="C9" s="33">
        <f>'Data Entry'!C9</f>
        <v>3</v>
      </c>
      <c r="D9" s="34">
        <f>IF((AND(C68&gt;0,C9&gt;0)),((C9/C68)),0)</f>
        <v>14.285714285714286</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18</v>
      </c>
      <c r="R9" s="42">
        <f t="shared" si="5"/>
        <v>21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21</v>
      </c>
      <c r="R10" s="42">
        <f t="shared" si="5"/>
        <v>21</v>
      </c>
      <c r="S10" s="30">
        <f t="shared" si="6"/>
        <v>0</v>
      </c>
      <c r="T10" s="30">
        <f t="shared" si="7"/>
        <v>0</v>
      </c>
      <c r="U10" s="31" t="str">
        <f t="shared" si="8"/>
        <v>- -</v>
      </c>
    </row>
    <row r="11" spans="2:21" ht="18" customHeight="1">
      <c r="B11" s="32" t="str">
        <f>'Data Entry'!A11</f>
        <v>6. Cases Petitioned (Charge Filed)</v>
      </c>
      <c r="C11" s="33">
        <f>'Data Entry'!C11</f>
        <v>17</v>
      </c>
      <c r="D11" s="34">
        <f>IF(((AND(C68&gt;0,C11&gt;0))),(C11/(C68)),0)</f>
        <v>80.952380952380949</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17</v>
      </c>
      <c r="Q11" s="42">
        <f>(C$68*L68)-C11</f>
        <v>4</v>
      </c>
      <c r="R11" s="42">
        <f t="shared" si="5"/>
        <v>21</v>
      </c>
      <c r="S11" s="30">
        <f t="shared" si="6"/>
        <v>0</v>
      </c>
      <c r="T11" s="30">
        <f t="shared" si="7"/>
        <v>0</v>
      </c>
      <c r="U11" s="31" t="str">
        <f t="shared" si="8"/>
        <v>- -</v>
      </c>
    </row>
    <row r="12" spans="2:21" ht="18" customHeight="1">
      <c r="B12" s="32" t="str">
        <f>'Data Entry'!A12</f>
        <v>7. Cases Resulting in Delinquent Findings</v>
      </c>
      <c r="C12" s="33">
        <f>'Data Entry'!C12</f>
        <v>14</v>
      </c>
      <c r="D12" s="34">
        <f>IF(((AND(C69&gt;0,C12&gt;0))),(C12/(C69)),0)</f>
        <v>82.35294117647058</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14</v>
      </c>
      <c r="Q12" s="42">
        <f>(C69*L69)-C12</f>
        <v>3</v>
      </c>
      <c r="R12" s="42">
        <f t="shared" si="5"/>
        <v>17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14.000000000000002</v>
      </c>
      <c r="R13" s="42">
        <f t="shared" si="5"/>
        <v>14.000000000000002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14.000000000000002</v>
      </c>
      <c r="R14" s="42">
        <f t="shared" si="5"/>
        <v>14.000000000000002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17</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1.2190000000000001</v>
      </c>
      <c r="D42" s="56">
        <f>E6/1000</f>
        <v>2.1000000000000001E-2</v>
      </c>
      <c r="E42" s="56">
        <f>MAX(C42:D42)</f>
        <v>1.2190000000000001</v>
      </c>
      <c r="G42" s="1" t="str">
        <f>B42</f>
        <v>per 1000 youth</v>
      </c>
      <c r="L42" s="57">
        <v>1000</v>
      </c>
      <c r="M42" s="57"/>
      <c r="R42" s="49"/>
    </row>
    <row r="43" spans="2:18" ht="15" hidden="1" customHeight="1">
      <c r="B43" s="49" t="s">
        <v>87</v>
      </c>
      <c r="C43" s="56">
        <f>C7/100</f>
        <v>0.04</v>
      </c>
      <c r="D43" s="56">
        <f>E7/100</f>
        <v>0</v>
      </c>
      <c r="E43" s="56">
        <f>MAX(C43:D43,0)</f>
        <v>0.04</v>
      </c>
      <c r="G43" s="1" t="str">
        <f>B43</f>
        <v>per 100 arrests</v>
      </c>
      <c r="L43" s="57">
        <v>100</v>
      </c>
      <c r="M43" s="57"/>
      <c r="R43" s="49"/>
    </row>
    <row r="44" spans="2:18" ht="15" hidden="1" customHeight="1">
      <c r="B44" s="49" t="s">
        <v>88</v>
      </c>
      <c r="C44" s="56">
        <f>C8/100</f>
        <v>0.21</v>
      </c>
      <c r="D44" s="56">
        <f>E8/100</f>
        <v>0</v>
      </c>
      <c r="E44" s="56">
        <f>MAX(C44:D44,0)</f>
        <v>0.21</v>
      </c>
      <c r="G44" s="1" t="str">
        <f>B44</f>
        <v>per 100 referrals</v>
      </c>
      <c r="L44" s="57">
        <v>100</v>
      </c>
      <c r="M44" s="57"/>
      <c r="R44" s="49"/>
    </row>
    <row r="45" spans="2:18" ht="15" hidden="1" customHeight="1">
      <c r="B45" s="49" t="s">
        <v>89</v>
      </c>
      <c r="C45" s="49">
        <f>C11/100</f>
        <v>0.17</v>
      </c>
      <c r="D45" s="49">
        <f>E11/100</f>
        <v>0</v>
      </c>
      <c r="E45" s="56">
        <f>MAX(C45:D45,0)</f>
        <v>0.17</v>
      </c>
      <c r="G45" s="1" t="str">
        <f>B45</f>
        <v>per 100 youth petitioned</v>
      </c>
      <c r="L45" s="57">
        <v>100</v>
      </c>
      <c r="M45" s="57"/>
      <c r="R45" s="49"/>
    </row>
    <row r="46" spans="2:18" ht="15" hidden="1" customHeight="1">
      <c r="B46" s="49" t="s">
        <v>90</v>
      </c>
      <c r="C46" s="49">
        <f>C12/100</f>
        <v>0.14000000000000001</v>
      </c>
      <c r="D46" s="49">
        <f>E12/100</f>
        <v>0</v>
      </c>
      <c r="E46" s="56">
        <f>MAX(C46:D46)</f>
        <v>0.14000000000000001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1.2190000000000001</v>
      </c>
      <c r="D48" s="56">
        <f>D42</f>
        <v>2.1000000000000001E-2</v>
      </c>
      <c r="E48" s="56">
        <f>MAX(C48:D48)</f>
        <v>1.2190000000000001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0.17</v>
      </c>
      <c r="D51" s="49">
        <f>IF(($E45&gt;0),D45,D44)</f>
        <v>0</v>
      </c>
      <c r="E51" s="49">
        <f>MAX(C51:D51)</f>
        <v>0.17</v>
      </c>
      <c r="G51" s="1" t="str">
        <f>G45</f>
        <v>per 100 youth petitioned</v>
      </c>
      <c r="L51" s="58">
        <f>IF(($E45&gt;0),L45,L44)</f>
        <v>100</v>
      </c>
      <c r="M51" s="58"/>
    </row>
    <row r="52" spans="2:18" ht="15" hidden="1" customHeight="1">
      <c r="B52" s="49" t="str">
        <f>IF(($E46&gt;0),B46,B45)</f>
        <v>per 100 youth found delinquent</v>
      </c>
      <c r="C52" s="49">
        <f>IF(($E46&gt;0),C46,C45)</f>
        <v>0.14000000000000001</v>
      </c>
      <c r="D52" s="49">
        <f>IF(($E46&gt;0),D46,D45)</f>
        <v>0</v>
      </c>
      <c r="E52" s="56">
        <f>MAX(C52:D52)</f>
        <v>0.14000000000000001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1.2190000000000001</v>
      </c>
      <c r="D54" s="56">
        <f>D48</f>
        <v>2.1000000000000001E-2</v>
      </c>
      <c r="E54" s="56">
        <f>MAX(C54:D54)</f>
        <v>1.2190000000000001</v>
      </c>
      <c r="G54" s="1" t="str">
        <f>G48</f>
        <v>per 1000 youth</v>
      </c>
      <c r="L54" s="58">
        <f>L48</f>
        <v>1000</v>
      </c>
      <c r="M54" s="58"/>
    </row>
    <row r="55" spans="2:18" ht="15" hidden="1" customHeight="1">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c r="B57" s="49" t="str">
        <f>IF(($E51&gt;0),B51,B49)</f>
        <v>per 100 youth petitioned</v>
      </c>
      <c r="C57" s="49">
        <f>IF(($E51&gt;0),C51,C50)</f>
        <v>0.17</v>
      </c>
      <c r="D57" s="49">
        <f>IF(($E51&gt;0),D51,D50)</f>
        <v>0</v>
      </c>
      <c r="E57" s="49">
        <f>MAX(C57:D57)</f>
        <v>0.17</v>
      </c>
      <c r="G57" s="1" t="str">
        <f>G51</f>
        <v>per 100 youth petitioned</v>
      </c>
      <c r="L57" s="58">
        <f>IF(($E51&gt;0),L51,L50)</f>
        <v>100</v>
      </c>
      <c r="M57" s="58"/>
    </row>
    <row r="58" spans="2:18" ht="15" hidden="1" customHeight="1">
      <c r="B58" s="49" t="str">
        <f>IF(($E52&gt;0),B52,B51)</f>
        <v>per 100 youth found delinquent</v>
      </c>
      <c r="C58" s="49">
        <f>IF(($E52&gt;0),C52,C51)</f>
        <v>0.14000000000000001</v>
      </c>
      <c r="D58" s="49">
        <f>IF(($E52&gt;0),D52,D51)</f>
        <v>0</v>
      </c>
      <c r="E58" s="56">
        <f>MAX(C58:D58)</f>
        <v>0.14000000000000001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1.2190000000000001</v>
      </c>
      <c r="D60" s="56">
        <f>D54</f>
        <v>2.1000000000000001E-2</v>
      </c>
      <c r="E60" s="56">
        <f>MAX(C60:D60)</f>
        <v>1.2190000000000001</v>
      </c>
      <c r="G60" s="1" t="str">
        <f>G54</f>
        <v>per 1000 youth</v>
      </c>
      <c r="L60" s="58">
        <f>L54</f>
        <v>1000</v>
      </c>
      <c r="M60" s="58"/>
    </row>
    <row r="61" spans="2:18" ht="15" hidden="1" customHeight="1">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c r="B63" s="49" t="str">
        <f>IF(($E57&gt;0),B57,B55)</f>
        <v>per 100 youth petitioned</v>
      </c>
      <c r="C63" s="49">
        <f>IF(($E57&gt;0),C57,C56)</f>
        <v>0.17</v>
      </c>
      <c r="D63" s="49">
        <f>IF(($E57&gt;0),D57,D56)</f>
        <v>0</v>
      </c>
      <c r="E63" s="49">
        <f>MAX(C63:D63)</f>
        <v>0.17</v>
      </c>
      <c r="G63" s="1" t="str">
        <f>G57</f>
        <v>per 100 youth petitioned</v>
      </c>
      <c r="L63" s="58">
        <f>IF(($E57&gt;0),L57,L56)</f>
        <v>100</v>
      </c>
      <c r="M63" s="58"/>
    </row>
    <row r="64" spans="2:18" ht="15" hidden="1" customHeight="1">
      <c r="B64" s="49" t="str">
        <f>IF(($E58&gt;0),B58,B57)</f>
        <v>per 100 youth found delinquent</v>
      </c>
      <c r="C64" s="49">
        <f>IF(($E58&gt;0),C58,C57)</f>
        <v>0.14000000000000001</v>
      </c>
      <c r="D64" s="49">
        <f>IF(($E58&gt;0),D58,D57)</f>
        <v>0</v>
      </c>
      <c r="E64" s="56">
        <f>MAX(C64:D64)</f>
        <v>0.14000000000000001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1.2190000000000001</v>
      </c>
      <c r="D66" s="56">
        <f>D60</f>
        <v>2.1000000000000001E-2</v>
      </c>
      <c r="E66" s="56">
        <f>MAX(C66:D66)</f>
        <v>1.2190000000000001</v>
      </c>
      <c r="G66" s="1" t="str">
        <f>G60</f>
        <v>per 1000 youth</v>
      </c>
      <c r="L66" s="58">
        <f>L60</f>
        <v>1000</v>
      </c>
      <c r="M66" s="58">
        <f>IF((B66=G66),1,2)</f>
        <v>1</v>
      </c>
    </row>
    <row r="67" spans="2:13" ht="15" hidden="1" customHeight="1">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c r="B69" s="49" t="str">
        <f>IF(($E63&gt;0),B63,B61)</f>
        <v>per 100 youth petitioned</v>
      </c>
      <c r="C69" s="49">
        <f>IF(($E63&gt;0),C63,C62)</f>
        <v>0.17</v>
      </c>
      <c r="D69" s="49">
        <f>IF(($E63&gt;0),D63,D62)</f>
        <v>0</v>
      </c>
      <c r="E69" s="49">
        <f>MAX(C69:D69)</f>
        <v>0.17</v>
      </c>
      <c r="G69" s="1" t="str">
        <f>G63</f>
        <v>per 100 youth petitioned</v>
      </c>
      <c r="L69" s="58">
        <f>IF(($E63&gt;0),L63,L62)</f>
        <v>100</v>
      </c>
      <c r="M69" s="58">
        <f>IF((B69=G69),1,2)</f>
        <v>1</v>
      </c>
    </row>
    <row r="70" spans="2:13" ht="15" hidden="1" customHeight="1">
      <c r="B70" s="49" t="str">
        <f>IF(($E64&gt;0),B64,B63)</f>
        <v>per 100 youth found delinquent</v>
      </c>
      <c r="C70" s="49">
        <f>IF(($E64&gt;0),C64,C63)</f>
        <v>0.14000000000000001</v>
      </c>
      <c r="D70" s="49">
        <f>IF(($E64&gt;0),D64,D63)</f>
        <v>0</v>
      </c>
      <c r="E70" s="56">
        <f>MAX(C70:D70)</f>
        <v>0.14000000000000001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U47JMPN4QEAR-1806752177-35324</_dlc_DocId>
    <_dlc_DocIdUrl xmlns="ac3811b5-0f3e-49e2-ba69-f2ffa0c782af">
      <Url>https://michiganphi.sharepoint.com/sites/CMDMC/_layouts/15/DocIdRedir.aspx?ID=U47JMPN4QEAR-1806752177-35324</Url>
      <Description>U47JMPN4QEAR-1806752177-35324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C3D29B2-73A6-47DB-B375-436A2117C553}">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31FC53D4-86DE-4503-94DE-F63F6907A397}">
  <ds:schemaRefs>
    <ds:schemaRef ds:uri="http://schemas.microsoft.com/sharepoint/v3/contenttype/forms"/>
  </ds:schemaRefs>
</ds:datastoreItem>
</file>

<file path=customXml/itemProps3.xml><?xml version="1.0" encoding="utf-8"?>
<ds:datastoreItem xmlns:ds="http://schemas.openxmlformats.org/officeDocument/2006/customXml" ds:itemID="{4219ABA5-C016-4E3F-901D-EAE9900A52A6}"/>
</file>

<file path=customXml/itemProps4.xml><?xml version="1.0" encoding="utf-8"?>
<ds:datastoreItem xmlns:ds="http://schemas.openxmlformats.org/officeDocument/2006/customXml" ds:itemID="{ECFF7D86-562A-4F9B-BB22-73CAE2C142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0772fc5c-7ac3-4833-a314-ed0e8270a086</vt:lpwstr>
  </property>
</Properties>
</file>