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3BFE7E8F-A8F5-4D02-B51D-D8114D81586C}"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3"/>
  <c r="M66" i="3"/>
  <c r="F27" i="4"/>
  <c r="M66" i="4"/>
  <c r="F27" i="6"/>
  <c r="M66" i="6"/>
  <c r="F27" i="2"/>
  <c r="M66" i="2"/>
  <c r="M66" i="7"/>
  <c r="F27" i="7"/>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C49" i="7" s="1"/>
  <c r="E46" i="3"/>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B49" i="7"/>
  <c r="D49" i="7"/>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C56" i="2"/>
  <c r="D58" i="8"/>
  <c r="E58" i="5"/>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6" i="2"/>
  <c r="E58" i="7"/>
  <c r="E58" i="8" l="1"/>
  <c r="B64" i="8" s="1"/>
  <c r="D64" i="5"/>
  <c r="B56" i="8"/>
  <c r="C64" i="5"/>
  <c r="B64" i="5"/>
  <c r="C57" i="8"/>
  <c r="L64" i="5"/>
  <c r="L56"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64" i="5"/>
  <c r="C63" i="3"/>
  <c r="E57" i="8"/>
  <c r="B63" i="8" s="1"/>
  <c r="I7" i="9"/>
  <c r="Q8" i="13"/>
  <c r="B63" i="3"/>
  <c r="E64" i="6"/>
  <c r="B70" i="6" s="1"/>
  <c r="M70" i="6" s="1"/>
  <c r="Z8" i="13"/>
  <c r="R7" i="9"/>
  <c r="D63" i="3"/>
  <c r="E63" i="3" s="1"/>
  <c r="C69" i="3" s="1"/>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69" i="7" l="1"/>
  <c r="C69" i="7"/>
  <c r="D12" i="7" s="1"/>
  <c r="L70" i="3"/>
  <c r="L63" i="8"/>
  <c r="L70" i="8" s="1"/>
  <c r="D63" i="8"/>
  <c r="C63" i="8"/>
  <c r="C70" i="8" s="1"/>
  <c r="D70" i="6"/>
  <c r="F14" i="6" s="1"/>
  <c r="B70" i="3"/>
  <c r="M70" i="3" s="1"/>
  <c r="L70" i="6"/>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F13" i="6"/>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D13" i="3"/>
  <c r="Q9" i="3"/>
  <c r="O10" i="3"/>
  <c r="E68" i="3"/>
  <c r="O9" i="3"/>
  <c r="F31" i="3"/>
  <c r="F29" i="3"/>
  <c r="D14" i="4"/>
  <c r="L70" i="7"/>
  <c r="O14" i="7" s="1"/>
  <c r="M69" i="7"/>
  <c r="B69" i="3"/>
  <c r="M69" i="3" s="1"/>
  <c r="B70" i="8"/>
  <c r="M70" i="8" s="1"/>
  <c r="E64" i="2"/>
  <c r="L70" i="2" s="1"/>
  <c r="L67" i="6"/>
  <c r="F10" i="3"/>
  <c r="F11" i="3"/>
  <c r="D67" i="6"/>
  <c r="F8" i="6" s="1"/>
  <c r="Q13" i="3"/>
  <c r="L69" i="3"/>
  <c r="Q12" i="3" s="1"/>
  <c r="M70" i="5"/>
  <c r="E70" i="5"/>
  <c r="Q13" i="5"/>
  <c r="D13" i="5"/>
  <c r="Q14" i="5"/>
  <c r="D14" i="5"/>
  <c r="O13" i="5"/>
  <c r="O14" i="5"/>
  <c r="F35" i="7"/>
  <c r="Q14" i="3"/>
  <c r="F34" i="5"/>
  <c r="B70" i="7"/>
  <c r="F33" i="7" s="1"/>
  <c r="C70" i="7"/>
  <c r="D14" i="7" s="1"/>
  <c r="F14" i="7"/>
  <c r="E63" i="5"/>
  <c r="L69" i="5" s="1"/>
  <c r="Q12" i="7"/>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5" i="7" l="1"/>
  <c r="D15" i="7"/>
  <c r="E69" i="7"/>
  <c r="E70" i="3"/>
  <c r="F14" i="3"/>
  <c r="B69" i="6"/>
  <c r="M69" i="6" s="1"/>
  <c r="O15" i="7"/>
  <c r="R15" i="7" s="1"/>
  <c r="S15" i="7" s="1"/>
  <c r="U15" i="7" s="1"/>
  <c r="J15" i="7" s="1"/>
  <c r="Q13" i="8"/>
  <c r="F34" i="3"/>
  <c r="F12" i="7"/>
  <c r="E63" i="8"/>
  <c r="D69" i="8" s="1"/>
  <c r="F15" i="8" s="1"/>
  <c r="O13" i="6"/>
  <c r="O14" i="6"/>
  <c r="O13" i="3"/>
  <c r="T13" i="3" s="1"/>
  <c r="E70" i="6"/>
  <c r="D14" i="6"/>
  <c r="Q13" i="6"/>
  <c r="Q14" i="6"/>
  <c r="O12" i="7"/>
  <c r="T12" i="7" s="1"/>
  <c r="F33" i="3"/>
  <c r="C69" i="6"/>
  <c r="D12" i="6" s="1"/>
  <c r="O14" i="3"/>
  <c r="R14" i="3" s="1"/>
  <c r="S14" i="3" s="1"/>
  <c r="U14" i="3" s="1"/>
  <c r="J14" i="3" s="1"/>
  <c r="M14" i="3" s="1"/>
  <c r="G14" i="3" s="1"/>
  <c r="I15" i="16" s="1"/>
  <c r="D69" i="6"/>
  <c r="F12" i="6" s="1"/>
  <c r="T10" i="3"/>
  <c r="K10" i="4"/>
  <c r="F8" i="7"/>
  <c r="T9" i="4"/>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T15" i="7" l="1"/>
  <c r="R13" i="3"/>
  <c r="S13" i="3" s="1"/>
  <c r="U13" i="3" s="1"/>
  <c r="J13" i="3" s="1"/>
  <c r="M13" i="3" s="1"/>
  <c r="G13" i="3" s="1"/>
  <c r="F35" i="6"/>
  <c r="K13" i="3"/>
  <c r="K15" i="7"/>
  <c r="L15" i="7" s="1"/>
  <c r="S16" i="16" s="1"/>
  <c r="F32" i="6"/>
  <c r="C69" i="8"/>
  <c r="D12" i="8" s="1"/>
  <c r="L69" i="8"/>
  <c r="O15" i="8" s="1"/>
  <c r="B69" i="8"/>
  <c r="M69" i="8" s="1"/>
  <c r="F12" i="8"/>
  <c r="R13" i="8"/>
  <c r="S13" i="8" s="1"/>
  <c r="T13" i="6"/>
  <c r="T14" i="6"/>
  <c r="R13" i="6"/>
  <c r="S13" i="6" s="1"/>
  <c r="U13" i="6" s="1"/>
  <c r="J13" i="6" s="1"/>
  <c r="M13" i="6" s="1"/>
  <c r="G13" i="6" s="1"/>
  <c r="G13" i="9" s="1"/>
  <c r="D15" i="6"/>
  <c r="R14" i="6"/>
  <c r="S14" i="6" s="1"/>
  <c r="U14" i="6" s="1"/>
  <c r="J14" i="6" s="1"/>
  <c r="M14" i="6" s="1"/>
  <c r="G14" i="6" s="1"/>
  <c r="M15" i="13" s="1"/>
  <c r="Q12" i="6"/>
  <c r="Q15" i="6"/>
  <c r="K14" i="3"/>
  <c r="L14" i="3" s="1"/>
  <c r="P15" i="16" s="1"/>
  <c r="T14" i="3"/>
  <c r="K13" i="6"/>
  <c r="K14" i="6"/>
  <c r="T13" i="8"/>
  <c r="U11" i="5"/>
  <c r="J11" i="5" s="1"/>
  <c r="M11" i="5" s="1"/>
  <c r="K12" i="7"/>
  <c r="R12" i="7"/>
  <c r="S12" i="7" s="1"/>
  <c r="U12" i="7" s="1"/>
  <c r="J12" i="7" s="1"/>
  <c r="M12" i="7" s="1"/>
  <c r="O12" i="6"/>
  <c r="R14" i="8"/>
  <c r="S14" i="8" s="1"/>
  <c r="E69" i="6"/>
  <c r="O15" i="6"/>
  <c r="R15" i="6" s="1"/>
  <c r="S15" i="6" s="1"/>
  <c r="U15" i="6" s="1"/>
  <c r="J15" i="6" s="1"/>
  <c r="F15" i="6"/>
  <c r="L13" i="4"/>
  <c r="O14" i="16" s="1"/>
  <c r="L11" i="4"/>
  <c r="O12" i="16" s="1"/>
  <c r="K8" i="7"/>
  <c r="O13" i="2"/>
  <c r="T8" i="7"/>
  <c r="U8" i="7" s="1"/>
  <c r="J8" i="7" s="1"/>
  <c r="M8" i="7" s="1"/>
  <c r="T13" i="7"/>
  <c r="Q10" i="7"/>
  <c r="F13" i="2"/>
  <c r="Q11" i="7"/>
  <c r="R8" i="6"/>
  <c r="S8" i="6" s="1"/>
  <c r="F14" i="2"/>
  <c r="F10" i="7"/>
  <c r="L10" i="3"/>
  <c r="P11" i="16" s="1"/>
  <c r="F30" i="7"/>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Q15" i="8" l="1"/>
  <c r="R15" i="8" s="1"/>
  <c r="S15" i="8" s="1"/>
  <c r="L13" i="3"/>
  <c r="P14" i="16" s="1"/>
  <c r="F32" i="8"/>
  <c r="O12" i="8"/>
  <c r="K12" i="8" s="1"/>
  <c r="E69" i="8"/>
  <c r="Q12" i="8"/>
  <c r="R12" i="8" s="1"/>
  <c r="S12" i="8" s="1"/>
  <c r="U13" i="8"/>
  <c r="J13" i="8" s="1"/>
  <c r="M13" i="8" s="1"/>
  <c r="G13" i="8" s="1"/>
  <c r="K14" i="16" s="1"/>
  <c r="M14" i="13"/>
  <c r="F35" i="8"/>
  <c r="R12" i="6"/>
  <c r="S12" i="6" s="1"/>
  <c r="K15" i="6"/>
  <c r="L15" i="6" s="1"/>
  <c r="R16" i="16" s="1"/>
  <c r="L13" i="6"/>
  <c r="R14" i="16" s="1"/>
  <c r="K12" i="6"/>
  <c r="T15" i="6"/>
  <c r="L12" i="7"/>
  <c r="S13" i="16" s="1"/>
  <c r="T12" i="6"/>
  <c r="L11" i="5"/>
  <c r="Q12" i="16" s="1"/>
  <c r="U14" i="8"/>
  <c r="J14" i="8" s="1"/>
  <c r="N30" i="8" s="1"/>
  <c r="M13" i="9"/>
  <c r="U14" i="13"/>
  <c r="U12" i="13"/>
  <c r="M11" i="9"/>
  <c r="T13" i="2"/>
  <c r="U8" i="6"/>
  <c r="J8" i="6" s="1"/>
  <c r="M8" i="6" s="1"/>
  <c r="G8" i="6" s="1"/>
  <c r="M9" i="13" s="1"/>
  <c r="R13" i="2"/>
  <c r="S13" i="2" s="1"/>
  <c r="T15" i="8"/>
  <c r="V11" i="13"/>
  <c r="G14" i="9"/>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M15" i="6"/>
  <c r="G15" i="6" s="1"/>
  <c r="N14" i="9"/>
  <c r="L13" i="7"/>
  <c r="S14" i="16" s="1"/>
  <c r="M9" i="3"/>
  <c r="G9" i="3" s="1"/>
  <c r="I10" i="13" s="1"/>
  <c r="I14" i="13"/>
  <c r="I14" i="16"/>
  <c r="G12" i="13"/>
  <c r="G12" i="16"/>
  <c r="N9" i="9"/>
  <c r="P10" i="16"/>
  <c r="M14" i="7"/>
  <c r="N30" i="7"/>
  <c r="L14" i="7"/>
  <c r="S15" i="16" s="1"/>
  <c r="L8" i="7"/>
  <c r="S9" i="16" s="1"/>
  <c r="O13" i="9"/>
  <c r="V14" i="13"/>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U12" i="6" l="1"/>
  <c r="J12" i="6" s="1"/>
  <c r="N13" i="9"/>
  <c r="X14" i="13"/>
  <c r="T12" i="8"/>
  <c r="L13" i="8"/>
  <c r="T14" i="16" s="1"/>
  <c r="Q14" i="13"/>
  <c r="I13" i="9"/>
  <c r="U13" i="2"/>
  <c r="J13" i="2" s="1"/>
  <c r="M13" i="2" s="1"/>
  <c r="G13" i="2" s="1"/>
  <c r="E14" i="16" s="1"/>
  <c r="P13" i="9"/>
  <c r="W12" i="13"/>
  <c r="Q12" i="9"/>
  <c r="U12" i="8"/>
  <c r="J12" i="8" s="1"/>
  <c r="M12" i="8" s="1"/>
  <c r="G12" i="8" s="1"/>
  <c r="K13" i="16" s="1"/>
  <c r="L12" i="6"/>
  <c r="R13" i="16" s="1"/>
  <c r="M12" i="6"/>
  <c r="G12" i="6" s="1"/>
  <c r="M13" i="13" s="1"/>
  <c r="Y13" i="13"/>
  <c r="O11" i="9"/>
  <c r="L14" i="8"/>
  <c r="T15" i="16" s="1"/>
  <c r="M14" i="8"/>
  <c r="G14" i="8" s="1"/>
  <c r="K15" i="16" s="1"/>
  <c r="L8" i="6"/>
  <c r="R9" i="16" s="1"/>
  <c r="L10" i="7"/>
  <c r="S11" i="16" s="1"/>
  <c r="X16" i="13"/>
  <c r="P15" i="9"/>
  <c r="L15" i="5"/>
  <c r="Q16" i="16" s="1"/>
  <c r="T9" i="13"/>
  <c r="L8" i="9"/>
  <c r="X15" i="13"/>
  <c r="P14"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3" i="9" l="1"/>
  <c r="Z14" i="13"/>
  <c r="L13" i="2"/>
  <c r="N14" i="16" s="1"/>
  <c r="C13" i="9"/>
  <c r="E14" i="13"/>
  <c r="R14" i="9"/>
  <c r="X13" i="13"/>
  <c r="L12" i="8"/>
  <c r="T13" i="16" s="1"/>
  <c r="G12" i="9"/>
  <c r="P12" i="9"/>
  <c r="Z15" i="13"/>
  <c r="I14" i="9"/>
  <c r="Q15" i="13"/>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3" i="9" l="1"/>
  <c r="T14" i="13"/>
  <c r="Z13"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<sst xmlns="http://schemas.openxmlformats.org/spreadsheetml/2006/main" count="654" uniqueCount="141">
  <si>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</si>
  <si>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</si>
  <si>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</si>
  <si>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</si>
  <si>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</si>
  <si>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</si>
  <si>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</si>
  <si>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</si>
  <si>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</si>
  <si>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</si>
  <si>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</si>
  <si>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</si>
  <si>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</si>
  <si>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</si>
  <si>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</si>
  <si>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</si>
  <si>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</si>
  <si>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</si>
  <si>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</si>
  <si>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</si>
  <si>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</si>
  <si>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</si>
  <si>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</si>
  <si>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</si>
  <si>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</si>
  <si>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</si>
  <si>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</si>
  <si>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</si>
  <si>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</si>
  <si>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</si>
  <si>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</si>
  <si>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</si>
  <si>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</si>
  <si>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</si>
  <si>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</si>
  <si>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</si>
  <si>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</si>
  <si>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</si>
  <si>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</si>
  <si>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</si>
  <si>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</si>
  <si>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</si>
  <si>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</si>
  <si>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</si>
  <si>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</si>
  <si>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</si>
  <si>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</si>
  <si>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</si>
  <si>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</si>
  <si>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</si>
  <si>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</si>
  <si>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</si>
  <si>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</si>
  <si>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</si>
  <si>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</si>
  <si>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</si>
  <si>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</si>
  <si>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</si>
  <si>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</si>
  <si>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</si>
  <si>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</si>
  <si>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</si>
  <si>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</si>
  <si>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</si>
  <si>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</si>
  <si>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</si>
  <si>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</si>
  <si>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</si>
  <si>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</si>
  <si>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</si>
  <si>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</si>
  <si>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</si>
  <si>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</si>
  <si>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</si>
  <si>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</si>
  <si>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</si>
  <si>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</si>
  <si>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</si>
  <si>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</si>
  <si>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</si>
  <si>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</si>
  <si>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</si>
  <si>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</si>
  <si>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</si>
  <si>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</si>
  <si>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</si>
  <si>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</si>
  <si>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</si>
  <si>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</si>
  <si>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</si>
  <si>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</si>
  <si>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</si>
  <si>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</si>
  <si>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</si>
  <si>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</si>
  <si>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</si>
  <si>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</si>
  <si>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</si>
  <si>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</si>
  <si>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</si>
  <si>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</si>
  <si>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</si>
  <si>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</si>
  <si>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</si>
  <si>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</si>
  <si>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</si>
  <si>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</si>
  <si>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</si>
  <si>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</si>
  <si>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</si>
  <si>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</si>
  <si>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</si>
  <si>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</si>
  <si>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</si>
  <si>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</si>
  <si>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</si>
  <si>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</si>
  <si>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</si>
  <si>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</si>
  <si>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</si>
  <si>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</si>
  <si>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</si>
  <si>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</si>
  <si>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</si>
  <si>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</si>
  <si>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</si>
  <si>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</si>
  <si>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</si>
  <si>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</si>
  <si>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</si>
  <si>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</si>
  <si>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</si>
  <si>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</si>
  <si>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</si>
  <si>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</si>
  <si>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</si>
  <si>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</si>
  <si>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Arenac</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</si>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</sst>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Arenac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N=7</c:v>
                </c:pt>
                <c:pt idx="4">
                  <c:v>Detentions, total N=0</c:v>
                </c:pt>
                <c:pt idx="5">
                  <c:v>Referrals, total N=12</c:v>
                </c:pt>
                <c:pt idx="6">
                  <c:v>Arrests, total N=0</c:v>
                </c:pt>
                <c:pt idx="7">
                  <c:v>Population, total N=1061</c:v>
                </c:pt>
              </c:strCache>
            </c:strRef>
          </c:cat>
          <c:val>
            <c:numRef>
              <c:f>'Stacked 100%'!$B$7:$B$14</c:f>
              <c:numCache>
                <c:formatCode>0%</c:formatCode>
                <c:ptCount val="8"/>
                <c:pt idx="0">
                  <c:v>0</c:v>
                </c:pt>
                <c:pt idx="1">
                  <c:v>0</c:v>
                </c:pt>
                <c:pt idx="2">
                  <c:v>0</c:v>
                </c:pt>
                <c:pt idx="3">
                  <c:v>0</c:v>
                </c:pt>
                <c:pt idx="4">
                  <c:v>0</c:v>
                </c:pt>
                <c:pt idx="5">
                  <c:v>0</c:v>
                </c:pt>
                <c:pt idx="6">
                  <c:v>0</c:v>
                </c:pt>
                <c:pt idx="7">
                  <c:v>1.9792648444863337E-2</c:v>
                </c:pt>
              </c:numCache>
            </c:numRef>
          </c:val>
          <c:extLst>
            <c:ext xmlns:c16="http://schemas.microsoft.com/office/drawing/2014/chart" uri="{C3380CC4-5D6E-409C-BE32-E72D297353CC}">
              <c16:uniqueId val="{00000000-1F90-433F-8EBF-E98B8CF4E2A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N=7</c:v>
                </c:pt>
                <c:pt idx="4">
                  <c:v>Detentions, total N=0</c:v>
                </c:pt>
                <c:pt idx="5">
                  <c:v>Referrals, total N=12</c:v>
                </c:pt>
                <c:pt idx="6">
                  <c:v>Arrests, total N=0</c:v>
                </c:pt>
                <c:pt idx="7">
                  <c:v>Population, total N=1061</c:v>
                </c:pt>
              </c:strCache>
            </c:strRef>
          </c:cat>
          <c:val>
            <c:numRef>
              <c:f>'Stacked 100%'!$C$7:$C$14</c:f>
              <c:numCache>
                <c:formatCode>0%</c:formatCode>
                <c:ptCount val="8"/>
                <c:pt idx="0">
                  <c:v>0</c:v>
                </c:pt>
                <c:pt idx="1">
                  <c:v>0</c:v>
                </c:pt>
                <c:pt idx="2">
                  <c:v>0</c:v>
                </c:pt>
                <c:pt idx="3">
                  <c:v>0</c:v>
                </c:pt>
                <c:pt idx="4">
                  <c:v>0</c:v>
                </c:pt>
                <c:pt idx="5">
                  <c:v>0</c:v>
                </c:pt>
                <c:pt idx="6">
                  <c:v>0</c:v>
                </c:pt>
                <c:pt idx="7">
                  <c:v>2.2620169651272386E-2</c:v>
                </c:pt>
              </c:numCache>
            </c:numRef>
          </c:val>
          <c:extLst>
            <c:ext xmlns:c16="http://schemas.microsoft.com/office/drawing/2014/chart" uri="{C3380CC4-5D6E-409C-BE32-E72D297353CC}">
              <c16:uniqueId val="{00000001-1F90-433F-8EBF-E98B8CF4E2A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N=4</c:v>
                </c:pt>
                <c:pt idx="3">
                  <c:v>Petitions, total N=7</c:v>
                </c:pt>
                <c:pt idx="4">
                  <c:v>Detentions, total N=0</c:v>
                </c:pt>
                <c:pt idx="5">
                  <c:v>Referrals, total N=12</c:v>
                </c:pt>
                <c:pt idx="6">
                  <c:v>Arrests, total N=0</c:v>
                </c:pt>
                <c:pt idx="7">
                  <c:v>Population, total N=1061</c:v>
                </c:pt>
              </c:strCache>
            </c:strRef>
          </c:cat>
          <c:val>
            <c:numRef>
              <c:f>'Stacked 100%'!$H$7:$H$14</c:f>
              <c:numCache>
                <c:formatCode>0%</c:formatCode>
                <c:ptCount val="8"/>
                <c:pt idx="0">
                  <c:v>0</c:v>
                </c:pt>
                <c:pt idx="1">
                  <c:v>0</c:v>
                </c:pt>
                <c:pt idx="2">
                  <c:v>0</c:v>
                </c:pt>
                <c:pt idx="3">
                  <c:v>0</c:v>
                </c:pt>
                <c:pt idx="4">
                  <c:v>0</c:v>
                </c:pt>
                <c:pt idx="5">
                  <c:v>0</c:v>
                </c:pt>
                <c:pt idx="6">
                  <c:v>0</c:v>
                </c:pt>
                <c:pt idx="7">
                  <c:v>1.954303064436037E-5</c:v>
                </c:pt>
              </c:numCache>
            </c:numRef>
          </c:val>
          <c:extLst>
            <c:ext xmlns:c16="http://schemas.microsoft.com/office/drawing/2014/chart" uri="{C3380CC4-5D6E-409C-BE32-E72D297353CC}">
              <c16:uniqueId val="{00000002-1F90-433F-8EBF-E98B8CF4E2A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N=7</c:v>
                </c:pt>
                <c:pt idx="4">
                  <c:v>Detentions, total N=0</c:v>
                </c:pt>
                <c:pt idx="5">
                  <c:v>Referrals, total N=12</c:v>
                </c:pt>
                <c:pt idx="6">
                  <c:v>Arrests, total N=0</c:v>
                </c:pt>
                <c:pt idx="7">
                  <c:v>Population, total N=1061</c:v>
                </c:pt>
              </c:strCache>
            </c:strRef>
          </c:cat>
          <c:val>
            <c:numRef>
              <c:f>'Stacked 100%'!$I$7:$I$14</c:f>
              <c:numCache>
                <c:formatCode>0%</c:formatCode>
                <c:ptCount val="8"/>
                <c:pt idx="0">
                  <c:v>0</c:v>
                </c:pt>
                <c:pt idx="1">
                  <c:v>0</c:v>
                </c:pt>
                <c:pt idx="2">
                  <c:v>0.5</c:v>
                </c:pt>
                <c:pt idx="3">
                  <c:v>0.7142857142857143</c:v>
                </c:pt>
                <c:pt idx="4">
                  <c:v>0</c:v>
                </c:pt>
                <c:pt idx="5">
                  <c:v>0.5</c:v>
                </c:pt>
                <c:pt idx="6">
                  <c:v>0</c:v>
                </c:pt>
                <c:pt idx="7">
                  <c:v>0.93685202639019793</c:v>
                </c:pt>
              </c:numCache>
            </c:numRef>
          </c:val>
          <c:extLst>
            <c:ext xmlns:c16="http://schemas.microsoft.com/office/drawing/2014/chart" uri="{C3380CC4-5D6E-409C-BE32-E72D297353CC}">
              <c16:uniqueId val="{00000003-1F90-433F-8EBF-E98B8CF4E2A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N=4</c:v>
                </c:pt>
                <c:pt idx="3">
                  <c:v>Petitions, total N=7</c:v>
                </c:pt>
                <c:pt idx="4">
                  <c:v>Detentions, total N=0</c:v>
                </c:pt>
                <c:pt idx="5">
                  <c:v>Referrals, total N=12</c:v>
                </c:pt>
                <c:pt idx="6">
                  <c:v>Arrests, total N=0</c:v>
                </c:pt>
                <c:pt idx="7">
                  <c:v>Population, total N=1061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F90-433F-8EBF-E98B8CF4E2A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C14" sqref="C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69" t="s">
        <v>1</v>
      </c>
      <c r="C1" s="169"/>
      <c r="D1" s="169"/>
      <c r="E1" s="169"/>
      <c r="F1" s="169"/>
      <c r="G1" s="169"/>
      <c r="H1" s="169"/>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1061</v>
      </c>
      <c r="C6" s="11">
        <v>994</v>
      </c>
      <c r="D6" s="11">
        <v>21</v>
      </c>
      <c r="E6" s="11">
        <v>24</v>
      </c>
      <c r="F6" s="11">
        <v>3</v>
      </c>
      <c r="G6" s="11"/>
      <c r="H6" s="11">
        <v>19</v>
      </c>
      <c r="I6" s="11"/>
      <c r="J6" s="91">
        <f>SUM(D6:I6)</f>
        <v>67</v>
      </c>
      <c r="K6" s="92"/>
    </row>
    <row r="7" spans="1:11" ht="15.75" customHeight="1" thickBot="1" x14ac:dyDescent="0.25">
      <c r="A7" s="10" t="s">
        <v>8</v>
      </c>
      <c r="B7" s="11">
        <f t="shared" ref="B7:B15" si="0">SUM(C7:I7)+K7</f>
        <v>0</v>
      </c>
      <c r="C7" s="11"/>
      <c r="D7" s="11"/>
      <c r="E7" s="11"/>
      <c r="F7" s="11"/>
      <c r="G7" s="11"/>
      <c r="H7" s="11"/>
      <c r="I7" s="11"/>
      <c r="J7" s="91">
        <f t="shared" ref="J7:J15" si="1">SUM(D7:I7)</f>
        <v>0</v>
      </c>
      <c r="K7" s="92"/>
    </row>
    <row r="8" spans="1:11" ht="15.75" customHeight="1" thickBot="1" x14ac:dyDescent="0.25">
      <c r="A8" s="10" t="s">
        <v>9</v>
      </c>
      <c r="B8" s="11">
        <f t="shared" si="0"/>
        <v>12</v>
      </c>
      <c r="C8" s="11">
        <v>6</v>
      </c>
      <c r="D8" s="11"/>
      <c r="E8" s="11"/>
      <c r="F8" s="11"/>
      <c r="G8" s="11"/>
      <c r="H8" s="11"/>
      <c r="I8" s="11"/>
      <c r="J8" s="91">
        <f t="shared" si="1"/>
        <v>0</v>
      </c>
      <c r="K8" s="92">
        <v>6</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7</v>
      </c>
      <c r="C11" s="11">
        <v>5</v>
      </c>
      <c r="D11" s="11"/>
      <c r="E11" s="11"/>
      <c r="F11" s="11"/>
      <c r="G11" s="11"/>
      <c r="H11" s="11"/>
      <c r="I11" s="11"/>
      <c r="J11" s="91">
        <f t="shared" si="1"/>
        <v>0</v>
      </c>
      <c r="K11" s="92">
        <v>2</v>
      </c>
    </row>
    <row r="12" spans="1:11" ht="15.75" customHeight="1" thickBot="1" x14ac:dyDescent="0.25">
      <c r="A12" s="10" t="s">
        <v>13</v>
      </c>
      <c r="B12" s="11">
        <f t="shared" si="0"/>
        <v>4</v>
      </c>
      <c r="C12" s="11">
        <v>2</v>
      </c>
      <c r="D12" s="11"/>
      <c r="E12" s="11"/>
      <c r="F12" s="11"/>
      <c r="G12" s="11"/>
      <c r="H12" s="11"/>
      <c r="I12" s="11"/>
      <c r="J12" s="91">
        <f t="shared" si="1"/>
        <v>0</v>
      </c>
      <c r="K12" s="92">
        <v>2</v>
      </c>
    </row>
    <row r="13" spans="1:11" ht="15.75" customHeight="1" thickBot="1" x14ac:dyDescent="0.25">
      <c r="A13" s="10" t="s">
        <v>133</v>
      </c>
      <c r="B13" s="11">
        <f t="shared" si="0"/>
        <v>6</v>
      </c>
      <c r="C13" s="11">
        <v>3</v>
      </c>
      <c r="D13" s="11"/>
      <c r="E13" s="11"/>
      <c r="F13" s="11"/>
      <c r="G13" s="11"/>
      <c r="H13" s="11"/>
      <c r="I13" s="11"/>
      <c r="J13" s="91">
        <f t="shared" si="1"/>
        <v>0</v>
      </c>
      <c r="K13" s="92">
        <v>3</v>
      </c>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0" t="s">
        <v>138</v>
      </c>
      <c r="B19" s="170"/>
      <c r="C19" s="8"/>
      <c r="D19" s="170" t="s">
        <v>139</v>
      </c>
      <c r="E19" s="170"/>
      <c r="F19" s="170"/>
      <c r="G19" s="170"/>
      <c r="H19" s="170"/>
      <c r="I19" s="170"/>
    </row>
    <row r="20" spans="1:9" ht="15" customHeight="1" x14ac:dyDescent="0.25">
      <c r="A20" s="170" t="s">
        <v>108</v>
      </c>
      <c r="B20" s="170"/>
      <c r="C20" s="8"/>
      <c r="D20" s="170" t="s">
        <v>109</v>
      </c>
      <c r="E20" s="170"/>
      <c r="F20" s="170"/>
      <c r="G20" s="170"/>
      <c r="H20" s="170"/>
      <c r="I20" s="170"/>
    </row>
    <row r="21" spans="1:9" ht="15" customHeight="1" x14ac:dyDescent="0.25">
      <c r="A21" s="170" t="s">
        <v>110</v>
      </c>
      <c r="B21" s="170"/>
      <c r="C21" s="8"/>
      <c r="D21" s="170" t="s">
        <v>111</v>
      </c>
      <c r="E21" s="170"/>
      <c r="F21" s="170"/>
      <c r="G21" s="170"/>
      <c r="H21" s="170"/>
      <c r="I21" s="170"/>
    </row>
    <row r="22" spans="1:9" ht="15" customHeight="1" x14ac:dyDescent="0.25">
      <c r="A22" s="170" t="s">
        <v>112</v>
      </c>
      <c r="B22" s="170"/>
      <c r="C22" s="8"/>
      <c r="D22" s="170" t="s">
        <v>113</v>
      </c>
      <c r="E22" s="170"/>
      <c r="F22" s="170"/>
      <c r="G22" s="170"/>
      <c r="H22" s="170"/>
      <c r="I22" s="170"/>
    </row>
    <row r="23" spans="1:9" ht="15" customHeight="1" x14ac:dyDescent="0.25">
      <c r="A23" s="170" t="s">
        <v>114</v>
      </c>
      <c r="B23" s="170"/>
      <c r="C23" s="8"/>
      <c r="D23" s="170" t="s">
        <v>115</v>
      </c>
      <c r="E23" s="170"/>
      <c r="F23" s="170"/>
      <c r="G23" s="170"/>
      <c r="H23" s="170"/>
      <c r="I23" s="170"/>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Arenac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994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994</v>
      </c>
      <c r="R7" s="42">
        <f t="shared" ref="R7:R15" si="5">SUM(N7:Q7)</f>
        <v>994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v>
      </c>
      <c r="D8" s="34">
        <f>IF((AND(C67&gt;0,C8&gt;0)),(C8/C67),0)</f>
        <v>6.0362173038229381</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v>
      </c>
      <c r="Q8" s="42">
        <f>(C$67*L67)-C8</f>
        <v>988</v>
      </c>
      <c r="R8" s="42">
        <f t="shared" si="5"/>
        <v>994.05</v>
      </c>
      <c r="S8" s="30">
        <f t="shared" si="6"/>
        <v>89.464500000000015</v>
      </c>
      <c r="T8" s="30">
        <f t="shared" si="7"/>
        <v>294636.51</v>
      </c>
      <c r="U8" s="31">
        <f t="shared" si="8"/>
        <v>3.0364363194500238E-4</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5</v>
      </c>
      <c r="D11" s="34">
        <f>IF(((AND(C68&gt;0,C11&gt;0))),(C11/(C68)),0)</f>
        <v>83.333333333333343</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1</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40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3</v>
      </c>
      <c r="R12" s="42">
        <f t="shared" si="5"/>
        <v>5</v>
      </c>
      <c r="S12" s="30">
        <f t="shared" si="6"/>
        <v>0</v>
      </c>
      <c r="T12" s="30">
        <f t="shared" si="7"/>
        <v>0</v>
      </c>
      <c r="U12" s="31" t="str">
        <f t="shared" si="8"/>
        <v>- -</v>
      </c>
    </row>
    <row r="13" spans="2:21" ht="18" customHeight="1" x14ac:dyDescent="0.25">
      <c r="B13" s="32" t="str">
        <f>'Data Entry'!A13</f>
        <v>8. Cases Resulting in Probation Placement</v>
      </c>
      <c r="C13" s="33">
        <f>'Data Entry'!C13</f>
        <v>3</v>
      </c>
      <c r="D13" s="34">
        <f>IF(((AND(C70&gt;0,C13&gt;0))),(C13/(C70)),0)</f>
        <v>150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0.99399999999999999</v>
      </c>
      <c r="D42" s="56">
        <f>E6/1000</f>
        <v>0</v>
      </c>
      <c r="E42" s="56">
        <f>MAX(C42:D42)</f>
        <v>0.99399999999999999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0.06</v>
      </c>
      <c r="D44" s="56">
        <f>E8/100</f>
        <v>0</v>
      </c>
      <c r="E44" s="56">
        <f>MAX(C44:D44,0)</f>
        <v>0.06</v>
      </c>
      <c r="G44" s="1" t="str">
        <f>B44</f>
        <v>per 100 referrals</v>
      </c>
      <c r="L44" s="57">
        <v>100</v>
      </c>
      <c r="M44" s="57"/>
      <c r="R44" s="49"/>
    </row>
    <row r="45" spans="2:18" ht="15" hidden="1" customHeight="1" x14ac:dyDescent="0.25">
      <c r="B45" s="49" t="s">
        <v>89</v>
      </c>
      <c r="C45" s="49">
        <f>C11/100</f>
        <v>0.05</v>
      </c>
      <c r="D45" s="49">
        <f>E11/100</f>
        <v>0</v>
      </c>
      <c r="E45" s="56">
        <f>MAX(C45:D45,0)</f>
        <v>0.05</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0.99399999999999999</v>
      </c>
      <c r="D48" s="56">
        <f>D42</f>
        <v>0</v>
      </c>
      <c r="E48" s="56">
        <f>MAX(C48:D48)</f>
        <v>0.99399999999999999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0.99399999999999999</v>
      </c>
      <c r="D49" s="49">
        <f t="shared" si="9"/>
        <v>0</v>
      </c>
      <c r="E49" s="49">
        <f>MAX(C49:D49)</f>
        <v>0.99399999999999999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0.99399999999999999</v>
      </c>
      <c r="D54" s="56">
        <f>D48</f>
        <v>0</v>
      </c>
      <c r="E54" s="56">
        <f>MAX(C54:D54)</f>
        <v>0.99399999999999999</v>
      </c>
      <c r="G54" s="1" t="str">
        <f>G48</f>
        <v>per 1000 youth</v>
      </c>
      <c r="L54" s="58">
        <f>L48</f>
        <v>1000</v>
      </c>
      <c r="M54" s="58"/>
    </row>
    <row r="55" spans="2:18" ht="15" hidden="1" customHeight="1" x14ac:dyDescent="0.25">
      <c r="B55" s="49" t="str">
        <f t="shared" ref="B55:D56" si="10">IF(($E49&gt;0),B49,B48)</f>
        <v>per 1000 youth</v>
      </c>
      <c r="C55" s="49">
        <f t="shared" si="10"/>
        <v>0.99399999999999999</v>
      </c>
      <c r="D55" s="49">
        <f t="shared" si="10"/>
        <v>0</v>
      </c>
      <c r="E55" s="49">
        <f>MAX(C55:D55)</f>
        <v>0.99399999999999999</v>
      </c>
      <c r="G55" s="1" t="str">
        <f>G49</f>
        <v>per 100 arrests</v>
      </c>
      <c r="L55" s="58">
        <f>IF(($E49&gt;0),L49,L48)</f>
        <v>1000</v>
      </c>
      <c r="M55" s="58"/>
    </row>
    <row r="56" spans="2:18" ht="15" hidden="1" customHeight="1" x14ac:dyDescent="0.25">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0.99399999999999999</v>
      </c>
      <c r="D60" s="56">
        <f>D54</f>
        <v>0</v>
      </c>
      <c r="E60" s="56">
        <f>MAX(C60:D60)</f>
        <v>0.99399999999999999</v>
      </c>
      <c r="G60" s="1" t="str">
        <f>G54</f>
        <v>per 1000 youth</v>
      </c>
      <c r="L60" s="58">
        <f>L54</f>
        <v>1000</v>
      </c>
      <c r="M60" s="58"/>
    </row>
    <row r="61" spans="2:18" ht="15" hidden="1" customHeight="1" x14ac:dyDescent="0.25">
      <c r="B61" s="49" t="str">
        <f t="shared" ref="B61:D62" si="11">IF(($E55&gt;0),B55,B54)</f>
        <v>per 1000 youth</v>
      </c>
      <c r="C61" s="49">
        <f t="shared" si="11"/>
        <v>0.99399999999999999</v>
      </c>
      <c r="D61" s="49">
        <f t="shared" si="11"/>
        <v>0</v>
      </c>
      <c r="E61" s="49">
        <f>MAX(C61:D61)</f>
        <v>0.99399999999999999</v>
      </c>
      <c r="G61" s="1" t="str">
        <f>G55</f>
        <v>per 100 arrests</v>
      </c>
      <c r="L61" s="58">
        <f>IF(($E55&gt;0),L55,L54)</f>
        <v>1000</v>
      </c>
      <c r="M61" s="58"/>
    </row>
    <row r="62" spans="2:18" ht="15" hidden="1" customHeight="1" x14ac:dyDescent="0.25">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0.99399999999999999</v>
      </c>
      <c r="D66" s="56">
        <f>D60</f>
        <v>0</v>
      </c>
      <c r="E66" s="56">
        <f>MAX(C66:D66)</f>
        <v>0.99399999999999999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0.99399999999999999</v>
      </c>
      <c r="D67" s="49">
        <f t="shared" si="12"/>
        <v>0</v>
      </c>
      <c r="E67" s="49">
        <f>MAX(C67:D67)</f>
        <v>0.99399999999999999</v>
      </c>
      <c r="G67" s="1" t="str">
        <f>G61</f>
        <v>per 100 arrests</v>
      </c>
      <c r="L67" s="58">
        <f>IF(($E61&gt;0),L61,L60)</f>
        <v>1000</v>
      </c>
      <c r="M67" s="58">
        <f>IF((B67=G67),1,2)</f>
        <v>2</v>
      </c>
    </row>
    <row r="68" spans="2:13" ht="15" hidden="1" customHeight="1" x14ac:dyDescent="0.25">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x14ac:dyDescent="0.25">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Arenac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994</v>
      </c>
      <c r="D6" s="34"/>
      <c r="E6" s="33">
        <f>'Data Entry'!J6</f>
        <v>67</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67</v>
      </c>
      <c r="P7" s="42">
        <f t="shared" ref="P7:P15" si="4">C7</f>
        <v>0</v>
      </c>
      <c r="Q7" s="42">
        <f>C6-C7</f>
        <v>994</v>
      </c>
      <c r="R7" s="42">
        <f t="shared" ref="R7:R15" si="5">SUM(N7:Q7)</f>
        <v>1061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v>
      </c>
      <c r="D8" s="34">
        <f>IF((AND(C67&gt;0,C8&gt;0)),(C8/C67),0)</f>
        <v>6.0362173038229381</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67.05</v>
      </c>
      <c r="P8" s="42">
        <f t="shared" si="4"/>
        <v>6</v>
      </c>
      <c r="Q8" s="42">
        <f>(C$67*L67)-C8</f>
        <v>988</v>
      </c>
      <c r="R8" s="42">
        <f t="shared" si="5"/>
        <v>1061.05</v>
      </c>
      <c r="S8" s="30">
        <f t="shared" si="6"/>
        <v>171725944.95449993</v>
      </c>
      <c r="T8" s="30">
        <f t="shared" si="7"/>
        <v>421899935.30999994</v>
      </c>
      <c r="U8" s="31">
        <f t="shared" si="8"/>
        <v>0.40703003385938102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5</v>
      </c>
      <c r="D11" s="34">
        <f>IF(((AND(C68&gt;0,C11&gt;0))),(C11/(C68)),0)</f>
        <v>83.333333333333343</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1</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40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3</v>
      </c>
      <c r="R12" s="42">
        <f t="shared" si="5"/>
        <v>5</v>
      </c>
      <c r="S12" s="30">
        <f t="shared" si="6"/>
        <v>0</v>
      </c>
      <c r="T12" s="30">
        <f t="shared" si="7"/>
        <v>0</v>
      </c>
      <c r="U12" s="31" t="str">
        <f t="shared" si="8"/>
        <v>- -</v>
      </c>
    </row>
    <row r="13" spans="2:21" ht="18" customHeight="1" x14ac:dyDescent="0.25">
      <c r="B13" s="32" t="str">
        <f>'Data Entry'!A13</f>
        <v>8. Cases Resulting in Probation Placement</v>
      </c>
      <c r="C13" s="33">
        <f>'Data Entry'!C13</f>
        <v>3</v>
      </c>
      <c r="D13" s="34">
        <f>IF(((AND(C70&gt;0,C13&gt;0))),(C13/(C70)),0)</f>
        <v>150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0.99399999999999999</v>
      </c>
      <c r="D42" s="56">
        <f>E6/1000</f>
        <v>6.7000000000000004E-2</v>
      </c>
      <c r="E42" s="56">
        <f>MAX(C42:D42)</f>
        <v>0.99399999999999999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0.06</v>
      </c>
      <c r="D44" s="56">
        <f>E8/100</f>
        <v>0</v>
      </c>
      <c r="E44" s="56">
        <f>MAX(C44:D44,0)</f>
        <v>0.06</v>
      </c>
      <c r="G44" s="1" t="str">
        <f>B44</f>
        <v>per 100 referrals</v>
      </c>
      <c r="L44" s="57">
        <v>100</v>
      </c>
      <c r="M44" s="57"/>
      <c r="R44" s="49"/>
    </row>
    <row r="45" spans="2:18" ht="15" hidden="1" customHeight="1" x14ac:dyDescent="0.25">
      <c r="B45" s="49" t="s">
        <v>89</v>
      </c>
      <c r="C45" s="49">
        <f>C11/100</f>
        <v>0.05</v>
      </c>
      <c r="D45" s="49">
        <f>E11/100</f>
        <v>0</v>
      </c>
      <c r="E45" s="56">
        <f>MAX(C45:D45,0)</f>
        <v>0.05</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0.99399999999999999</v>
      </c>
      <c r="D48" s="56">
        <f>D42</f>
        <v>6.7000000000000004E-2</v>
      </c>
      <c r="E48" s="56">
        <f>MAX(C48:D48)</f>
        <v>0.99399999999999999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0.99399999999999999</v>
      </c>
      <c r="D49" s="49">
        <f t="shared" si="9"/>
        <v>6.7000000000000004E-2</v>
      </c>
      <c r="E49" s="49">
        <f>MAX(C49:D49)</f>
        <v>0.99399999999999999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0.99399999999999999</v>
      </c>
      <c r="D54" s="56">
        <f>D48</f>
        <v>6.7000000000000004E-2</v>
      </c>
      <c r="E54" s="56">
        <f>MAX(C54:D54)</f>
        <v>0.99399999999999999</v>
      </c>
      <c r="G54" s="1" t="str">
        <f>G48</f>
        <v>per 1000 youth</v>
      </c>
      <c r="L54" s="58">
        <f>L48</f>
        <v>1000</v>
      </c>
      <c r="M54" s="58"/>
    </row>
    <row r="55" spans="2:18" ht="15" hidden="1" customHeight="1" x14ac:dyDescent="0.25">
      <c r="B55" s="49" t="str">
        <f t="shared" ref="B55:D56" si="10">IF(($E49&gt;0),B49,B48)</f>
        <v>per 1000 youth</v>
      </c>
      <c r="C55" s="49">
        <f t="shared" si="10"/>
        <v>0.99399999999999999</v>
      </c>
      <c r="D55" s="49">
        <f t="shared" si="10"/>
        <v>6.7000000000000004E-2</v>
      </c>
      <c r="E55" s="49">
        <f>MAX(C55:D55)</f>
        <v>0.99399999999999999</v>
      </c>
      <c r="G55" s="1" t="str">
        <f>G49</f>
        <v>per 100 arrests</v>
      </c>
      <c r="L55" s="58">
        <f>IF(($E49&gt;0),L49,L48)</f>
        <v>1000</v>
      </c>
      <c r="M55" s="58"/>
    </row>
    <row r="56" spans="2:18" ht="15" hidden="1" customHeight="1" x14ac:dyDescent="0.25">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0.99399999999999999</v>
      </c>
      <c r="D60" s="56">
        <f>D54</f>
        <v>6.7000000000000004E-2</v>
      </c>
      <c r="E60" s="56">
        <f>MAX(C60:D60)</f>
        <v>0.99399999999999999</v>
      </c>
      <c r="G60" s="1" t="str">
        <f>G54</f>
        <v>per 1000 youth</v>
      </c>
      <c r="L60" s="58">
        <f>L54</f>
        <v>1000</v>
      </c>
      <c r="M60" s="58"/>
    </row>
    <row r="61" spans="2:18" ht="15" hidden="1" customHeight="1" x14ac:dyDescent="0.25">
      <c r="B61" s="49" t="str">
        <f t="shared" ref="B61:D62" si="11">IF(($E55&gt;0),B55,B54)</f>
        <v>per 1000 youth</v>
      </c>
      <c r="C61" s="49">
        <f t="shared" si="11"/>
        <v>0.99399999999999999</v>
      </c>
      <c r="D61" s="49">
        <f t="shared" si="11"/>
        <v>6.7000000000000004E-2</v>
      </c>
      <c r="E61" s="49">
        <f>MAX(C61:D61)</f>
        <v>0.99399999999999999</v>
      </c>
      <c r="G61" s="1" t="str">
        <f>G55</f>
        <v>per 100 arrests</v>
      </c>
      <c r="L61" s="58">
        <f>IF(($E55&gt;0),L55,L54)</f>
        <v>1000</v>
      </c>
      <c r="M61" s="58"/>
    </row>
    <row r="62" spans="2:18" ht="15" hidden="1" customHeight="1" x14ac:dyDescent="0.25">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0.99399999999999999</v>
      </c>
      <c r="D66" s="56">
        <f>D60</f>
        <v>6.7000000000000004E-2</v>
      </c>
      <c r="E66" s="56">
        <f>MAX(C66:D66)</f>
        <v>0.99399999999999999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0.99399999999999999</v>
      </c>
      <c r="D67" s="49">
        <f t="shared" si="12"/>
        <v>6.7000000000000004E-2</v>
      </c>
      <c r="E67" s="49">
        <f>MAX(C67:D67)</f>
        <v>0.99399999999999999</v>
      </c>
      <c r="G67" s="1" t="str">
        <f>G61</f>
        <v>per 100 arrests</v>
      </c>
      <c r="L67" s="58">
        <f>IF(($E61&gt;0),L61,L60)</f>
        <v>1000</v>
      </c>
      <c r="M67" s="58">
        <f>IF((B67=G67),1,2)</f>
        <v>2</v>
      </c>
    </row>
    <row r="68" spans="2:13" ht="15" hidden="1" customHeight="1" x14ac:dyDescent="0.25">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x14ac:dyDescent="0.25">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Arenac</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1061</v>
      </c>
      <c r="D3" s="57">
        <f>'Data Entry'!C6</f>
        <v>994</v>
      </c>
      <c r="E3" s="57">
        <f>'Data Entry'!D6</f>
        <v>21</v>
      </c>
      <c r="F3" s="57">
        <f>'Data Entry'!E6</f>
        <v>24</v>
      </c>
      <c r="G3" s="57">
        <f>'Data Entry'!F6</f>
        <v>3</v>
      </c>
      <c r="H3" s="57">
        <f>'Data Entry'!G6</f>
        <v>0</v>
      </c>
      <c r="I3" s="57">
        <f>'Data Entry'!H6</f>
        <v>19</v>
      </c>
      <c r="J3" s="57">
        <f>'Data Entry'!I6</f>
        <v>0</v>
      </c>
      <c r="K3" s="57">
        <f>'Data Entry'!J6</f>
        <v>67</v>
      </c>
    </row>
    <row r="4" spans="2:11" ht="15" customHeight="1" x14ac:dyDescent="0.25">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11.310084825636192</v>
      </c>
      <c r="D5" s="1">
        <f>IF((D$3&gt;0),(1000*('Data Entry'!C8/'Data Entry'!C$6)), 0)</f>
        <v>6.0362173038229372</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6.5975494816211118</v>
      </c>
      <c r="D8" s="1">
        <f>IF((D$3&gt;0),(1000*('Data Entry'!C11/'Data Entry'!C$6)), 0)</f>
        <v>5.0301810865191143</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3.7700282752120642</v>
      </c>
      <c r="D9" s="1">
        <f>IF((D$3&gt;0),(1000*('Data Entry'!C12/'Data Entry'!C$6)), 0)</f>
        <v>2.0120724346076462</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5.6550424128180961</v>
      </c>
      <c r="D10" s="1">
        <f>IF((D$3&gt;0),(1000*('Data Entry'!C13/'Data Entry'!C$6)), 0)</f>
        <v>3.0181086519114686</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Arenac</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Arenac</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994</v>
      </c>
      <c r="D7" s="104">
        <f>'Data Entry'!D6</f>
        <v>21</v>
      </c>
      <c r="E7" s="105"/>
      <c r="F7" s="106">
        <f>'Data Entry'!E6</f>
        <v>24</v>
      </c>
      <c r="G7" s="105"/>
      <c r="H7" s="106">
        <f>'Data Entry'!F6</f>
        <v>3</v>
      </c>
      <c r="I7" s="105"/>
      <c r="J7" s="106">
        <f>'Data Entry'!G6</f>
        <v>0</v>
      </c>
      <c r="K7" s="105"/>
      <c r="L7" s="106">
        <f>'Data Entry'!H6</f>
        <v>19</v>
      </c>
      <c r="M7" s="105"/>
      <c r="N7" s="106">
        <f>'Data Entry'!I6</f>
        <v>0</v>
      </c>
      <c r="O7" s="105"/>
      <c r="P7" s="106">
        <f>'Data Entry'!J6</f>
        <v>67</v>
      </c>
      <c r="Q7" s="107"/>
    </row>
    <row r="8" spans="2:26" s="1" customFormat="1" ht="15" customHeight="1" x14ac:dyDescent="0.3">
      <c r="B8" s="142" t="s">
        <v>8</v>
      </c>
      <c r="C8" s="103">
        <f>'Data Entry'!C7</f>
        <v>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x14ac:dyDescent="0.3">
      <c r="B9" s="142" t="s">
        <v>134</v>
      </c>
      <c r="C9" s="103">
        <f>'Data Entry'!C8</f>
        <v>6</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x14ac:dyDescent="0.3">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2" t="s">
        <v>95</v>
      </c>
      <c r="C12" s="103">
        <f>'Data Entry'!C11</f>
        <v>5</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2" t="s">
        <v>13</v>
      </c>
      <c r="C13" s="103">
        <f>'Data Entry'!C12</f>
        <v>2</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2" t="s">
        <v>133</v>
      </c>
      <c r="C14" s="103">
        <f>'Data Entry'!C13</f>
        <v>3</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Arenac</v>
      </c>
    </row>
    <row r="6" spans="1:12" x14ac:dyDescent="0.2">
      <c r="A6" s="135" t="str">
        <f>CONCATENATE("Percentage of Minorities at Stages of the Juvenile Justice System, ", A5, " 2021")</f>
        <v>Percentage of Minorities at Stages of the Juvenile Justice System, County: Arenac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14.835820895522387</v>
      </c>
    </row>
    <row r="8" spans="1:12" ht="25.5" customHeight="1" x14ac:dyDescent="0.2">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14.835820895522387</v>
      </c>
    </row>
    <row r="9" spans="1:12" x14ac:dyDescent="0.2">
      <c r="A9" s="128" t="str">
        <f>CONCATENATE("Delinquent Findings, total N=", 'Data Entry'!B12)</f>
        <v>Delinquent Findings, total N=4</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0.5</v>
      </c>
      <c r="K9" s="96" t="str">
        <f t="shared" si="0"/>
        <v>Delinquent Findings, total N=4</v>
      </c>
      <c r="L9">
        <f>I14/(SUM(B14:G14))</f>
        <v>14.835820895522387</v>
      </c>
    </row>
    <row r="10" spans="1:12" x14ac:dyDescent="0.2">
      <c r="A10" s="128" t="str">
        <f>CONCATENATE("Petitions, total N=", 'Data Entry'!B11)</f>
        <v>Petitions, total N=7</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0.7142857142857143</v>
      </c>
      <c r="K10" s="96" t="str">
        <f t="shared" si="0"/>
        <v>Petitions, total N=7</v>
      </c>
      <c r="L10">
        <f>I14/(SUM(B14:G14))</f>
        <v>14.835820895522387</v>
      </c>
    </row>
    <row r="11" spans="1:12" x14ac:dyDescent="0.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14.835820895522387</v>
      </c>
    </row>
    <row r="12" spans="1:12" x14ac:dyDescent="0.2">
      <c r="A12" s="128" t="str">
        <f>CONCATENATE("Referrals, total N=", 'Data Entry'!B8)</f>
        <v>Referrals, total N=12</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0.5</v>
      </c>
      <c r="K12" s="96" t="str">
        <f t="shared" si="0"/>
        <v>Referrals, total N=12</v>
      </c>
      <c r="L12">
        <f>I14/(SUM(B14:G14))</f>
        <v>14.835820895522387</v>
      </c>
    </row>
    <row r="13" spans="1:12" x14ac:dyDescent="0.2">
      <c r="A13" s="128" t="str">
        <f>CONCATENATE("Arrests, total N=", 'Data Entry'!B7)</f>
        <v>Arrests, total N=0</v>
      </c>
      <c r="B13" s="150" t="e">
        <f>'Data Entry'!D7/'Data Entry'!B7</f>
        <v>#DIV/0!</v>
      </c>
      <c r="C13" s="150" t="e">
        <f>'Data Entry'!E7/'Data Entry'!B7</f>
        <v>#DIV/0!</v>
      </c>
      <c r="D13" s="150" t="e">
        <f>'Data Entry'!F7/'Data Entry'!B7</f>
        <v>#DIV/0!</v>
      </c>
      <c r="E13" s="150" t="e">
        <f>'Data Entry'!G7/'Data Entry'!B7</f>
        <v>#DIV/0!</v>
      </c>
      <c r="F13" s="150" t="e">
        <f>'Data Entry'!H7/'Data Entry'!B7</f>
        <v>#DIV/0!</v>
      </c>
      <c r="G13" s="150" t="e">
        <f>'Data Entry'!I7/'Data Entry'!B7</f>
        <v>#DIV/0!</v>
      </c>
      <c r="H13" s="150" t="e">
        <f>SUM(D13:G13)/'Data Entry'!B7</f>
        <v>#DIV/0!</v>
      </c>
      <c r="I13" s="150" t="e">
        <f>'Data Entry'!C7/'Data Entry'!B7</f>
        <v>#DIV/0!</v>
      </c>
      <c r="K13" s="96" t="str">
        <f t="shared" si="0"/>
        <v>Arrests, total N=0</v>
      </c>
      <c r="L13">
        <f>I14/(SUM(B14:G14))</f>
        <v>14.835820895522387</v>
      </c>
    </row>
    <row r="14" spans="1:12" x14ac:dyDescent="0.2">
      <c r="A14" s="128" t="str">
        <f>CONCATENATE("Population, total N=", 'Data Entry'!B6)</f>
        <v>Population, total N=1061</v>
      </c>
      <c r="B14" s="150">
        <f>'Data Entry'!D6/'Data Entry'!B6</f>
        <v>1.9792648444863337E-2</v>
      </c>
      <c r="C14" s="150">
        <f>'Data Entry'!E6/'Data Entry'!B6</f>
        <v>2.2620169651272386E-2</v>
      </c>
      <c r="D14" s="150">
        <f>'Data Entry'!F6/'Data Entry'!B6</f>
        <v>2.8275212064090482E-3</v>
      </c>
      <c r="E14" s="150">
        <f>'Data Entry'!G6/'Data Entry'!B6</f>
        <v>0</v>
      </c>
      <c r="F14" s="150">
        <f>'Data Entry'!H6/'Data Entry'!B6</f>
        <v>1.7907634307257305E-2</v>
      </c>
      <c r="G14" s="150">
        <f>'Data Entry'!I6/'Data Entry'!B6</f>
        <v>0</v>
      </c>
      <c r="H14" s="150">
        <f>SUM(D14:G14)/'Data Entry'!B6</f>
        <v>1.954303064436037E-5</v>
      </c>
      <c r="I14" s="150">
        <f>'Data Entry'!C6/'Data Entry'!B6</f>
        <v>0.93685202639019793</v>
      </c>
      <c r="K14" s="96" t="str">
        <f t="shared" si="0"/>
        <v>Population, total N=1061</v>
      </c>
      <c r="L14">
        <f>I14/(SUM(B14:G14))</f>
        <v>14.835820895522387</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187" t="str">
        <f>'Data Entry'!C3</f>
        <v xml:space="preserve">Reporting Period:  </v>
      </c>
      <c r="I3" s="188"/>
      <c r="J3" s="188"/>
      <c r="K3" s="189"/>
    </row>
    <row r="4" spans="2:30" s="1" customFormat="1" ht="19.5" thickBot="1" x14ac:dyDescent="0.4">
      <c r="B4" s="101" t="str">
        <f>'Data Entry'!A3</f>
        <v>County: Arenac</v>
      </c>
      <c r="C4" s="102"/>
      <c r="D4" s="102"/>
      <c r="E4" s="120"/>
      <c r="F4" s="120"/>
      <c r="G4" s="120"/>
      <c r="H4" s="177" t="str">
        <f>'Data Entry'!C4</f>
        <v>10/1/20 through 9/30/21</v>
      </c>
      <c r="I4" s="190"/>
      <c r="J4" s="190"/>
      <c r="K4" s="191"/>
    </row>
    <row r="5" spans="2:30" s="8" customFormat="1" ht="69" customHeight="1" x14ac:dyDescent="0.35">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994</v>
      </c>
      <c r="D7" s="104">
        <f>'Data Entry'!D6</f>
        <v>21</v>
      </c>
      <c r="E7" s="105"/>
      <c r="F7" s="106">
        <f>'Data Entry'!E6</f>
        <v>24</v>
      </c>
      <c r="G7" s="105"/>
      <c r="H7" s="106">
        <f>'Data Entry'!F6</f>
        <v>3</v>
      </c>
      <c r="I7" s="105"/>
      <c r="J7" s="106">
        <f>'Data Entry'!J6</f>
        <v>67</v>
      </c>
      <c r="K7" s="107"/>
    </row>
    <row r="8" spans="2:30" s="1" customFormat="1" ht="15" customHeight="1" x14ac:dyDescent="0.3">
      <c r="B8" s="121" t="s">
        <v>8</v>
      </c>
      <c r="C8" s="103">
        <f>'Data Entry'!C7</f>
        <v>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x14ac:dyDescent="0.3">
      <c r="B9" s="121" t="s">
        <v>134</v>
      </c>
      <c r="C9" s="103">
        <f>'Data Entry'!C8</f>
        <v>6</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x14ac:dyDescent="0.3">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1" t="s">
        <v>95</v>
      </c>
      <c r="C12" s="103">
        <f>'Data Entry'!C11</f>
        <v>5</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1" t="s">
        <v>13</v>
      </c>
      <c r="C13" s="103">
        <f>'Data Entry'!C12</f>
        <v>2</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x14ac:dyDescent="0.3">
      <c r="B14" s="121" t="s">
        <v>14</v>
      </c>
      <c r="C14" s="103">
        <f>'Data Entry'!C13</f>
        <v>3</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x14ac:dyDescent="0.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200" t="s">
        <v>120</v>
      </c>
      <c r="C19" s="201"/>
      <c r="D19" s="201"/>
      <c r="E19" s="201"/>
      <c r="F19" s="201"/>
      <c r="G19" s="201"/>
      <c r="H19" s="201"/>
      <c r="I19" s="202"/>
      <c r="J19" s="203"/>
      <c r="K19" s="204"/>
    </row>
    <row r="20" spans="2:30" ht="15.75" x14ac:dyDescent="0.3">
      <c r="B20" s="153" t="s">
        <v>125</v>
      </c>
      <c r="C20" s="208" t="s">
        <v>53</v>
      </c>
      <c r="D20" s="209"/>
      <c r="E20" s="192" t="s">
        <v>56</v>
      </c>
      <c r="F20" s="193"/>
      <c r="G20" s="193"/>
      <c r="H20" s="193"/>
      <c r="I20" s="193"/>
      <c r="J20" s="193"/>
      <c r="K20" s="154" t="s">
        <v>57</v>
      </c>
    </row>
    <row r="21" spans="2:30" ht="15" customHeight="1" x14ac:dyDescent="0.3">
      <c r="B21" s="155" t="s">
        <v>126</v>
      </c>
      <c r="C21" s="194" t="s">
        <v>55</v>
      </c>
      <c r="D21" s="195"/>
      <c r="E21" s="196" t="s">
        <v>58</v>
      </c>
      <c r="F21" s="197"/>
      <c r="G21" s="197"/>
      <c r="H21" s="197"/>
      <c r="I21" s="197"/>
      <c r="J21" s="197"/>
      <c r="K21" s="156" t="s">
        <v>59</v>
      </c>
    </row>
    <row r="22" spans="2:30" ht="15" customHeight="1" thickBot="1" x14ac:dyDescent="0.35">
      <c r="B22" s="205"/>
      <c r="C22" s="206"/>
      <c r="D22" s="207"/>
      <c r="E22" s="198" t="s">
        <v>60</v>
      </c>
      <c r="F22" s="199"/>
      <c r="G22" s="199"/>
      <c r="H22" s="199"/>
      <c r="I22" s="199"/>
      <c r="J22" s="199"/>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Arenac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994</v>
      </c>
      <c r="D6" s="34"/>
      <c r="E6" s="33">
        <f>'Data Entry'!D6</f>
        <v>21</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21</v>
      </c>
      <c r="P7" s="42">
        <f t="shared" ref="P7:P15" si="2">C7</f>
        <v>0</v>
      </c>
      <c r="Q7" s="42">
        <f>C6-C7</f>
        <v>994</v>
      </c>
      <c r="R7" s="42">
        <f t="shared" ref="R7:R15" si="3">SUM(N7:Q7)</f>
        <v>1015</v>
      </c>
      <c r="S7" s="30">
        <f t="shared" ref="S7:S15" si="4">R7*((((N7*Q7)-(O7*P7))^2))</f>
        <v>0</v>
      </c>
      <c r="T7" s="30">
        <f t="shared" ref="T7:T15" si="5">(N7+O7)*(P7+Q7)*(N7+P7)*(O7+Q7)</f>
        <v>0</v>
      </c>
      <c r="U7" s="31" t="str">
        <f t="shared" ref="U7:U15" si="6">IF((S7&gt;0),S7/T7,"- -")</f>
        <v>- -</v>
      </c>
    </row>
    <row r="8" spans="2:21" ht="18" customHeight="1" x14ac:dyDescent="0.25">
      <c r="B8" s="32" t="str">
        <f>'Data Entry'!A8</f>
        <v>3. Refer to Juvenile Court</v>
      </c>
      <c r="C8" s="33">
        <f>'Data Entry'!C8</f>
        <v>6</v>
      </c>
      <c r="D8" s="34">
        <f>IF((AND(C67&gt;0,C8&gt;0)),(C8/C67),0)</f>
        <v>6.0362173038229381</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21.05</v>
      </c>
      <c r="P8" s="42">
        <f t="shared" si="2"/>
        <v>6</v>
      </c>
      <c r="Q8" s="42">
        <f>(C$67*L67)-C8</f>
        <v>988</v>
      </c>
      <c r="R8" s="42">
        <f t="shared" si="3"/>
        <v>1015.05</v>
      </c>
      <c r="S8" s="30">
        <f t="shared" si="4"/>
        <v>16191762.934500001</v>
      </c>
      <c r="T8" s="30">
        <f t="shared" si="5"/>
        <v>126678356.91000001</v>
      </c>
      <c r="U8" s="31">
        <f t="shared" si="6"/>
        <v>0.1278179108843637</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6</v>
      </c>
      <c r="R9" s="42">
        <f t="shared" si="3"/>
        <v>6</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6</v>
      </c>
      <c r="R10" s="42">
        <f t="shared" si="3"/>
        <v>6</v>
      </c>
      <c r="S10" s="30">
        <f t="shared" si="4"/>
        <v>0</v>
      </c>
      <c r="T10" s="30">
        <f t="shared" si="5"/>
        <v>0</v>
      </c>
      <c r="U10" s="31" t="str">
        <f t="shared" si="6"/>
        <v>- -</v>
      </c>
    </row>
    <row r="11" spans="2:21" ht="18" customHeight="1" x14ac:dyDescent="0.25">
      <c r="B11" s="32" t="str">
        <f>'Data Entry'!A11</f>
        <v>6. Cases Petitioned (Charge Filed)</v>
      </c>
      <c r="C11" s="33">
        <f>'Data Entry'!C11</f>
        <v>5</v>
      </c>
      <c r="D11" s="34">
        <f>IF(((AND(C68&gt;0,C11&gt;0))),(C11/(C68)),0)</f>
        <v>83.333333333333343</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5</v>
      </c>
      <c r="Q11" s="42">
        <f>(C$68*L68)-C11</f>
        <v>1</v>
      </c>
      <c r="R11" s="42">
        <f t="shared" si="3"/>
        <v>6</v>
      </c>
      <c r="S11" s="30">
        <f t="shared" si="4"/>
        <v>0</v>
      </c>
      <c r="T11" s="30">
        <f t="shared" si="5"/>
        <v>0</v>
      </c>
      <c r="U11" s="31" t="str">
        <f t="shared" si="6"/>
        <v>- -</v>
      </c>
    </row>
    <row r="12" spans="2:21" ht="18" customHeight="1" x14ac:dyDescent="0.25">
      <c r="B12" s="32" t="str">
        <f>'Data Entry'!A12</f>
        <v>7. Cases Resulting in Delinquent Findings</v>
      </c>
      <c r="C12" s="33">
        <f>'Data Entry'!C12</f>
        <v>2</v>
      </c>
      <c r="D12" s="34">
        <f>IF(((AND(C69&gt;0,C12&gt;0))),(C12/(C69)),0)</f>
        <v>40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2</v>
      </c>
      <c r="Q12" s="42">
        <f>(C69*L69)-C12</f>
        <v>3</v>
      </c>
      <c r="R12" s="42">
        <f t="shared" si="3"/>
        <v>5</v>
      </c>
      <c r="S12" s="30">
        <f t="shared" si="4"/>
        <v>0</v>
      </c>
      <c r="T12" s="30">
        <f t="shared" si="5"/>
        <v>0</v>
      </c>
      <c r="U12" s="31" t="str">
        <f t="shared" si="6"/>
        <v>- -</v>
      </c>
    </row>
    <row r="13" spans="2:21" ht="18" customHeight="1" x14ac:dyDescent="0.25">
      <c r="B13" s="32" t="str">
        <f>'Data Entry'!A13</f>
        <v>8. Cases Resulting in Probation Placement</v>
      </c>
      <c r="C13" s="33">
        <f>'Data Entry'!C13</f>
        <v>3</v>
      </c>
      <c r="D13" s="34">
        <f>IF(((AND(C70&gt;0,C13&gt;0))),(C13/(C70)),0)</f>
        <v>150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3</v>
      </c>
      <c r="Q13" s="42">
        <f>(C70*L70)-C13</f>
        <v>-1</v>
      </c>
      <c r="R13" s="42">
        <f t="shared" si="3"/>
        <v>2</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5</v>
      </c>
      <c r="R15" s="42">
        <f t="shared" si="3"/>
        <v>5</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0.99399999999999999</v>
      </c>
      <c r="D42" s="56">
        <f>E6/1000</f>
        <v>2.1000000000000001E-2</v>
      </c>
      <c r="E42" s="56">
        <f>MAX(C42:D42)</f>
        <v>0.99399999999999999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0.06</v>
      </c>
      <c r="D44" s="56">
        <f>E8/100</f>
        <v>0</v>
      </c>
      <c r="E44" s="56">
        <f>MAX(C44:D44,0)</f>
        <v>0.06</v>
      </c>
      <c r="G44" s="1" t="str">
        <f>B44</f>
        <v>per 100 referrals</v>
      </c>
      <c r="L44" s="57">
        <v>100</v>
      </c>
      <c r="M44" s="57"/>
      <c r="R44" s="49"/>
    </row>
    <row r="45" spans="2:18" ht="15" hidden="1" customHeight="1" x14ac:dyDescent="0.25">
      <c r="B45" s="49" t="s">
        <v>89</v>
      </c>
      <c r="C45" s="49">
        <f>C11/100</f>
        <v>0.05</v>
      </c>
      <c r="D45" s="49">
        <f>E11/100</f>
        <v>0</v>
      </c>
      <c r="E45" s="56">
        <f>MAX(C45:D45,0)</f>
        <v>0.05</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0.99399999999999999</v>
      </c>
      <c r="D48" s="56">
        <f>D42</f>
        <v>2.1000000000000001E-2</v>
      </c>
      <c r="E48" s="56">
        <f>MAX(C48:D48)</f>
        <v>0.99399999999999999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IF(($E43&gt;0),C43,C42)</f>
        <v>0.99399999999999999</v>
      </c>
      <c r="D49" s="49">
        <f t="shared" si="9"/>
        <v>2.1000000000000001E-2</v>
      </c>
      <c r="E49" s="49">
        <f>MAX(C49:D49)</f>
        <v>0.99399999999999999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0.99399999999999999</v>
      </c>
      <c r="D54" s="56">
        <f>D48</f>
        <v>2.1000000000000001E-2</v>
      </c>
      <c r="E54" s="56">
        <f>MAX(C54:D54)</f>
        <v>0.99399999999999999</v>
      </c>
      <c r="G54" s="1" t="str">
        <f>G48</f>
        <v>per 1000 youth</v>
      </c>
      <c r="L54" s="58">
        <f>L48</f>
        <v>1000</v>
      </c>
      <c r="M54" s="58"/>
    </row>
    <row r="55" spans="2:18" ht="15" hidden="1" customHeight="1" x14ac:dyDescent="0.25">
      <c r="B55" s="49" t="str">
        <f t="shared" ref="B55:D56" si="10">IF(($E49&gt;0),B49,B48)</f>
        <v>per 1000 youth</v>
      </c>
      <c r="C55" s="49">
        <f t="shared" si="10"/>
        <v>0.99399999999999999</v>
      </c>
      <c r="D55" s="49">
        <f t="shared" si="10"/>
        <v>2.1000000000000001E-2</v>
      </c>
      <c r="E55" s="49">
        <f>MAX(C55:D55)</f>
        <v>0.99399999999999999</v>
      </c>
      <c r="G55" s="1" t="str">
        <f>G49</f>
        <v>per 100 arrests</v>
      </c>
      <c r="L55" s="58">
        <f>IF(($E49&gt;0),L49,L48)</f>
        <v>1000</v>
      </c>
      <c r="M55" s="58"/>
    </row>
    <row r="56" spans="2:18" ht="15" hidden="1" customHeight="1" x14ac:dyDescent="0.25">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0.99399999999999999</v>
      </c>
      <c r="D60" s="56">
        <f>D54</f>
        <v>2.1000000000000001E-2</v>
      </c>
      <c r="E60" s="56">
        <f>MAX(C60:D60)</f>
        <v>0.99399999999999999</v>
      </c>
      <c r="G60" s="1" t="str">
        <f>G54</f>
        <v>per 1000 youth</v>
      </c>
      <c r="L60" s="58">
        <f>L54</f>
        <v>1000</v>
      </c>
      <c r="M60" s="58"/>
    </row>
    <row r="61" spans="2:18" ht="15" hidden="1" customHeight="1" x14ac:dyDescent="0.25">
      <c r="B61" s="49" t="str">
        <f t="shared" ref="B61:D62" si="11">IF(($E55&gt;0),B55,B54)</f>
        <v>per 1000 youth</v>
      </c>
      <c r="C61" s="49">
        <f t="shared" si="11"/>
        <v>0.99399999999999999</v>
      </c>
      <c r="D61" s="49">
        <f t="shared" si="11"/>
        <v>2.1000000000000001E-2</v>
      </c>
      <c r="E61" s="49">
        <f>MAX(C61:D61)</f>
        <v>0.99399999999999999</v>
      </c>
      <c r="G61" s="1" t="str">
        <f>G55</f>
        <v>per 100 arrests</v>
      </c>
      <c r="L61" s="58">
        <f>IF(($E55&gt;0),L55,L54)</f>
        <v>1000</v>
      </c>
      <c r="M61" s="58"/>
    </row>
    <row r="62" spans="2:18" ht="15" hidden="1" customHeight="1" x14ac:dyDescent="0.25">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0.99399999999999999</v>
      </c>
      <c r="D66" s="56">
        <f>D60</f>
        <v>2.1000000000000001E-2</v>
      </c>
      <c r="E66" s="56">
        <f>MAX(C66:D66)</f>
        <v>0.99399999999999999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0.99399999999999999</v>
      </c>
      <c r="D67" s="49">
        <f t="shared" si="12"/>
        <v>2.1000000000000001E-2</v>
      </c>
      <c r="E67" s="49">
        <f>MAX(C67:D67)</f>
        <v>0.99399999999999999</v>
      </c>
      <c r="G67" s="1" t="str">
        <f>G61</f>
        <v>per 100 arrests</v>
      </c>
      <c r="L67" s="58">
        <f>IF(($E61&gt;0),L61,L60)</f>
        <v>1000</v>
      </c>
      <c r="M67" s="58">
        <f>IF((B67=G67),1,2)</f>
        <v>2</v>
      </c>
    </row>
    <row r="68" spans="2:13" ht="15" hidden="1" customHeight="1" x14ac:dyDescent="0.25">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x14ac:dyDescent="0.25">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Arenac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994</v>
      </c>
      <c r="D6" s="34"/>
      <c r="E6" s="33">
        <f>'Data Entry'!F6</f>
        <v>3</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3</v>
      </c>
      <c r="P7" s="42">
        <f t="shared" ref="P7:P15" si="4">C7</f>
        <v>0</v>
      </c>
      <c r="Q7" s="42">
        <f>C6-C7</f>
        <v>994</v>
      </c>
      <c r="R7" s="42">
        <f t="shared" ref="R7:R15" si="5">SUM(N7:Q7)</f>
        <v>997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v>
      </c>
      <c r="D8" s="34">
        <f>IF((AND(C67&gt;0,C8&gt;0)),(C8/C67),0)</f>
        <v>6.0362173038229381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3.05</v>
      </c>
      <c r="P8" s="42">
        <f t="shared" si="4"/>
        <v>6</v>
      </c>
      <c r="Q8" s="42">
        <f>(C$67*L67)-C8</f>
        <v>988</v>
      </c>
      <c r="R8" s="42">
        <f t="shared" si="5"/>
        <v>997.05</v>
      </c>
      <c r="S8" s="30">
        <f t="shared" si="6"/>
        <v>333902.07449999987</v>
      </c>
      <c r="T8" s="30">
        <f t="shared" si="7"/>
        <v>18027397.709999997</v>
      </c>
      <c r="U8" s="31">
        <f t="shared" si="8"/>
        <v>1.8521923123423448E-2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5</v>
      </c>
      <c r="D11" s="34">
        <f>IF(((AND(C68&gt;0,C11&gt;0))),(C11/(C68)),0)</f>
        <v>83.333333333333343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1</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40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3</v>
      </c>
      <c r="R12" s="42">
        <f t="shared" si="5"/>
        <v>5</v>
      </c>
      <c r="S12" s="30">
        <f t="shared" si="6"/>
        <v>0</v>
      </c>
      <c r="T12" s="30">
        <f t="shared" si="7"/>
        <v>0</v>
      </c>
      <c r="U12" s="31" t="str">
        <f t="shared" si="8"/>
        <v>- -</v>
      </c>
    </row>
    <row r="13" spans="2:21" ht="18" customHeight="1" x14ac:dyDescent="0.25">
      <c r="B13" s="32" t="str">
        <f>'Data Entry'!A13</f>
        <v>8. Cases Resulting in Probation Placement</v>
      </c>
      <c r="C13" s="33">
        <f>'Data Entry'!C13</f>
        <v>3</v>
      </c>
      <c r="D13" s="34">
        <f>IF(((AND(C70&gt;0,C13&gt;0))),(C13/(C70)),0)</f>
        <v>150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0.99399999999999999</v>
      </c>
      <c r="D42" s="56">
        <f>E6/1000</f>
        <v>3.0000000000000001E-3</v>
      </c>
      <c r="E42" s="56">
        <f>MAX(C42:D42)</f>
        <v>0.99399999999999999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0.06</v>
      </c>
      <c r="D44" s="56">
        <f>E8/100</f>
        <v>0</v>
      </c>
      <c r="E44" s="56">
        <f>MAX(C44:D44,0)</f>
        <v>0.06</v>
      </c>
      <c r="G44" s="1" t="str">
        <f>B44</f>
        <v>per 100 referrals</v>
      </c>
      <c r="L44" s="57">
        <v>100</v>
      </c>
      <c r="M44" s="57"/>
      <c r="R44" s="49"/>
    </row>
    <row r="45" spans="2:18" ht="15" hidden="1" customHeight="1" x14ac:dyDescent="0.25">
      <c r="B45" s="49" t="s">
        <v>89</v>
      </c>
      <c r="C45" s="49">
        <f>C11/100</f>
        <v>0.05</v>
      </c>
      <c r="D45" s="49">
        <f>E11/100</f>
        <v>0</v>
      </c>
      <c r="E45" s="56">
        <f>MAX(C45:D45,0)</f>
        <v>0.05</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0.99399999999999999</v>
      </c>
      <c r="D48" s="56">
        <f>D42</f>
        <v>3.0000000000000001E-3</v>
      </c>
      <c r="E48" s="56">
        <f>MAX(C48:D48)</f>
        <v>0.99399999999999999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0.99399999999999999</v>
      </c>
      <c r="D49" s="49">
        <f t="shared" si="9"/>
        <v>3.0000000000000001E-3</v>
      </c>
      <c r="E49" s="49">
        <f>MAX(C49:D49)</f>
        <v>0.99399999999999999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0.99399999999999999</v>
      </c>
      <c r="D54" s="56">
        <f>D48</f>
        <v>3.0000000000000001E-3</v>
      </c>
      <c r="E54" s="56">
        <f>MAX(C54:D54)</f>
        <v>0.99399999999999999</v>
      </c>
      <c r="G54" s="1" t="str">
        <f>G48</f>
        <v>per 1000 youth</v>
      </c>
      <c r="L54" s="58">
        <f>L48</f>
        <v>1000</v>
      </c>
      <c r="M54" s="58"/>
    </row>
    <row r="55" spans="2:18" ht="15" hidden="1" customHeight="1" x14ac:dyDescent="0.25">
      <c r="B55" s="49" t="str">
        <f t="shared" ref="B55:D56" si="10">IF(($E49&gt;0),B49,B48)</f>
        <v>per 1000 youth</v>
      </c>
      <c r="C55" s="49">
        <f t="shared" si="10"/>
        <v>0.99399999999999999</v>
      </c>
      <c r="D55" s="49">
        <f t="shared" si="10"/>
        <v>3.0000000000000001E-3</v>
      </c>
      <c r="E55" s="49">
        <f>MAX(C55:D55)</f>
        <v>0.99399999999999999</v>
      </c>
      <c r="G55" s="1" t="str">
        <f>G49</f>
        <v>per 100 arrests</v>
      </c>
      <c r="L55" s="58">
        <f>IF(($E49&gt;0),L49,L48)</f>
        <v>1000</v>
      </c>
      <c r="M55" s="58"/>
    </row>
    <row r="56" spans="2:18" ht="15" hidden="1" customHeight="1" x14ac:dyDescent="0.25">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0.99399999999999999</v>
      </c>
      <c r="D60" s="56">
        <f>D54</f>
        <v>3.0000000000000001E-3</v>
      </c>
      <c r="E60" s="56">
        <f>MAX(C60:D60)</f>
        <v>0.99399999999999999</v>
      </c>
      <c r="G60" s="1" t="str">
        <f>G54</f>
        <v>per 1000 youth</v>
      </c>
      <c r="L60" s="58">
        <f>L54</f>
        <v>1000</v>
      </c>
      <c r="M60" s="58"/>
    </row>
    <row r="61" spans="2:18" ht="15" hidden="1" customHeight="1" x14ac:dyDescent="0.25">
      <c r="B61" s="49" t="str">
        <f t="shared" ref="B61:D62" si="11">IF(($E55&gt;0),B55,B54)</f>
        <v>per 1000 youth</v>
      </c>
      <c r="C61" s="49">
        <f t="shared" si="11"/>
        <v>0.99399999999999999</v>
      </c>
      <c r="D61" s="49">
        <f t="shared" si="11"/>
        <v>3.0000000000000001E-3</v>
      </c>
      <c r="E61" s="49">
        <f>MAX(C61:D61)</f>
        <v>0.99399999999999999</v>
      </c>
      <c r="G61" s="1" t="str">
        <f>G55</f>
        <v>per 100 arrests</v>
      </c>
      <c r="L61" s="58">
        <f>IF(($E55&gt;0),L55,L54)</f>
        <v>1000</v>
      </c>
      <c r="M61" s="58"/>
    </row>
    <row r="62" spans="2:18" ht="15" hidden="1" customHeight="1" x14ac:dyDescent="0.25">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0.99399999999999999</v>
      </c>
      <c r="D66" s="56">
        <f>D60</f>
        <v>3.0000000000000001E-3</v>
      </c>
      <c r="E66" s="56">
        <f>MAX(C66:D66)</f>
        <v>0.99399999999999999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0.99399999999999999</v>
      </c>
      <c r="D67" s="49">
        <f t="shared" si="12"/>
        <v>3.0000000000000001E-3</v>
      </c>
      <c r="E67" s="49">
        <f>MAX(C67:D67)</f>
        <v>0.99399999999999999</v>
      </c>
      <c r="G67" s="1" t="str">
        <f>G61</f>
        <v>per 100 arrests</v>
      </c>
      <c r="L67" s="58">
        <f>IF(($E61&gt;0),L61,L60)</f>
        <v>1000</v>
      </c>
      <c r="M67" s="58">
        <f>IF((B67=G67),1,2)</f>
        <v>2</v>
      </c>
    </row>
    <row r="68" spans="2:13" ht="15" hidden="1" customHeight="1" x14ac:dyDescent="0.25">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x14ac:dyDescent="0.25">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Arenac</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994</v>
      </c>
      <c r="D6" s="34"/>
      <c r="E6" s="33">
        <f>'Data Entry'!E6</f>
        <v>24</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24</v>
      </c>
      <c r="P7" s="42">
        <f t="shared" ref="P7:P15" si="4">C7</f>
        <v>0</v>
      </c>
      <c r="Q7" s="42">
        <f>C6-C7</f>
        <v>994</v>
      </c>
      <c r="R7" s="42">
        <f t="shared" ref="R7:R15" si="5">SUM(N7:Q7)</f>
        <v>1018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v>
      </c>
      <c r="D8" s="34">
        <f>IF((AND(C67&gt;0,C8&gt;0)),(C8/C67),0)</f>
        <v>6.0362173038229381</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24.05</v>
      </c>
      <c r="P8" s="42">
        <f t="shared" si="4"/>
        <v>6</v>
      </c>
      <c r="Q8" s="42">
        <f>(C$67*L67)-C8</f>
        <v>988</v>
      </c>
      <c r="R8" s="42">
        <f t="shared" si="5"/>
        <v>1018.05</v>
      </c>
      <c r="S8" s="30">
        <f t="shared" si="6"/>
        <v>21198335.944499999</v>
      </c>
      <c r="T8" s="30">
        <f t="shared" si="7"/>
        <v>145162582.11000001</v>
      </c>
      <c r="U8" s="31">
        <f t="shared" si="8"/>
        <v>0.14603168141798767</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5</v>
      </c>
      <c r="D11" s="34">
        <f>IF(((AND(C68&gt;0,C11&gt;0))),(C11/(C68)),0)</f>
        <v>83.333333333333343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1</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40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3</v>
      </c>
      <c r="R12" s="42">
        <f t="shared" si="5"/>
        <v>5</v>
      </c>
      <c r="S12" s="30">
        <f t="shared" si="6"/>
        <v>0</v>
      </c>
      <c r="T12" s="30">
        <f t="shared" si="7"/>
        <v>0</v>
      </c>
      <c r="U12" s="31" t="str">
        <f t="shared" si="8"/>
        <v>- -</v>
      </c>
    </row>
    <row r="13" spans="2:21" ht="18" customHeight="1" x14ac:dyDescent="0.25">
      <c r="B13" s="32" t="str">
        <f>'Data Entry'!A13</f>
        <v>8. Cases Resulting in Probation Placement</v>
      </c>
      <c r="C13" s="33">
        <f>'Data Entry'!C13</f>
        <v>3</v>
      </c>
      <c r="D13" s="34">
        <f>IF(((AND(C70&gt;0,C13&gt;0))),(C13/(C70)),0)</f>
        <v>150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0.99399999999999999</v>
      </c>
      <c r="D42" s="56">
        <f>E6/1000</f>
        <v>2.4E-2</v>
      </c>
      <c r="E42" s="56">
        <f>MAX(C42:D42)</f>
        <v>0.99399999999999999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0.06</v>
      </c>
      <c r="D44" s="56">
        <f>E8/100</f>
        <v>0</v>
      </c>
      <c r="E44" s="56">
        <f>MAX(C44:D44,0)</f>
        <v>0.06</v>
      </c>
      <c r="G44" s="1" t="str">
        <f>B44</f>
        <v>per 100 referrals</v>
      </c>
      <c r="L44" s="57">
        <v>100</v>
      </c>
      <c r="M44" s="57"/>
      <c r="R44" s="49"/>
    </row>
    <row r="45" spans="2:18" ht="15" hidden="1" customHeight="1" x14ac:dyDescent="0.25">
      <c r="B45" s="49" t="s">
        <v>89</v>
      </c>
      <c r="C45" s="49">
        <f>C11/100</f>
        <v>0.05</v>
      </c>
      <c r="D45" s="49">
        <f>E11/100</f>
        <v>0</v>
      </c>
      <c r="E45" s="56">
        <f>MAX(C45:D45,0)</f>
        <v>0.05</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0.99399999999999999</v>
      </c>
      <c r="D48" s="56">
        <f>D42</f>
        <v>2.4E-2</v>
      </c>
      <c r="E48" s="56">
        <f>MAX(C48:D48)</f>
        <v>0.99399999999999999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0.99399999999999999</v>
      </c>
      <c r="D49" s="49">
        <f t="shared" si="9"/>
        <v>2.4E-2</v>
      </c>
      <c r="E49" s="49">
        <f>MAX(C49:D49)</f>
        <v>0.99399999999999999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0.99399999999999999</v>
      </c>
      <c r="D54" s="56">
        <f>D48</f>
        <v>2.4E-2</v>
      </c>
      <c r="E54" s="56">
        <f>MAX(C54:D54)</f>
        <v>0.99399999999999999</v>
      </c>
      <c r="G54" s="1" t="str">
        <f>G48</f>
        <v>per 1000 youth</v>
      </c>
      <c r="L54" s="58">
        <f>L48</f>
        <v>1000</v>
      </c>
      <c r="M54" s="58"/>
    </row>
    <row r="55" spans="2:18" ht="15" hidden="1" customHeight="1" x14ac:dyDescent="0.25">
      <c r="B55" s="49" t="str">
        <f t="shared" ref="B55:D56" si="10">IF(($E49&gt;0),B49,B48)</f>
        <v>per 1000 youth</v>
      </c>
      <c r="C55" s="49">
        <f t="shared" si="10"/>
        <v>0.99399999999999999</v>
      </c>
      <c r="D55" s="49">
        <f t="shared" si="10"/>
        <v>2.4E-2</v>
      </c>
      <c r="E55" s="49">
        <f>MAX(C55:D55)</f>
        <v>0.99399999999999999</v>
      </c>
      <c r="G55" s="1" t="str">
        <f>G49</f>
        <v>per 100 arrests</v>
      </c>
      <c r="L55" s="58">
        <f>IF(($E49&gt;0),L49,L48)</f>
        <v>1000</v>
      </c>
      <c r="M55" s="58"/>
    </row>
    <row r="56" spans="2:18" ht="15" hidden="1" customHeight="1" x14ac:dyDescent="0.25">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0.99399999999999999</v>
      </c>
      <c r="D60" s="56">
        <f>D54</f>
        <v>2.4E-2</v>
      </c>
      <c r="E60" s="56">
        <f>MAX(C60:D60)</f>
        <v>0.99399999999999999</v>
      </c>
      <c r="G60" s="1" t="str">
        <f>G54</f>
        <v>per 1000 youth</v>
      </c>
      <c r="L60" s="58">
        <f>L54</f>
        <v>1000</v>
      </c>
      <c r="M60" s="58"/>
    </row>
    <row r="61" spans="2:18" ht="15" hidden="1" customHeight="1" x14ac:dyDescent="0.25">
      <c r="B61" s="49" t="str">
        <f t="shared" ref="B61:D62" si="11">IF(($E55&gt;0),B55,B54)</f>
        <v>per 1000 youth</v>
      </c>
      <c r="C61" s="49">
        <f t="shared" si="11"/>
        <v>0.99399999999999999</v>
      </c>
      <c r="D61" s="49">
        <f t="shared" si="11"/>
        <v>2.4E-2</v>
      </c>
      <c r="E61" s="49">
        <f>MAX(C61:D61)</f>
        <v>0.99399999999999999</v>
      </c>
      <c r="G61" s="1" t="str">
        <f>G55</f>
        <v>per 100 arrests</v>
      </c>
      <c r="L61" s="58">
        <f>IF(($E55&gt;0),L55,L54)</f>
        <v>1000</v>
      </c>
      <c r="M61" s="58"/>
    </row>
    <row r="62" spans="2:18" ht="15" hidden="1" customHeight="1" x14ac:dyDescent="0.25">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0.99399999999999999</v>
      </c>
      <c r="D66" s="56">
        <f>D60</f>
        <v>2.4E-2</v>
      </c>
      <c r="E66" s="56">
        <f>MAX(C66:D66)</f>
        <v>0.99399999999999999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0.99399999999999999</v>
      </c>
      <c r="D67" s="49">
        <f t="shared" si="12"/>
        <v>2.4E-2</v>
      </c>
      <c r="E67" s="49">
        <f>MAX(C67:D67)</f>
        <v>0.99399999999999999</v>
      </c>
      <c r="G67" s="1" t="str">
        <f>G61</f>
        <v>per 100 arrests</v>
      </c>
      <c r="L67" s="58">
        <f>IF(($E61&gt;0),L61,L60)</f>
        <v>1000</v>
      </c>
      <c r="M67" s="58">
        <f>IF((B67=G67),1,2)</f>
        <v>2</v>
      </c>
    </row>
    <row r="68" spans="2:13" ht="15" hidden="1" customHeight="1" x14ac:dyDescent="0.25">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x14ac:dyDescent="0.25">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Arenac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994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994</v>
      </c>
      <c r="R7" s="42">
        <f t="shared" ref="R7:R15" si="5">SUM(N7:Q7)</f>
        <v>994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v>
      </c>
      <c r="D8" s="34">
        <f>IF((AND(C67&gt;0,C8&gt;0)),(C8/C67),0)</f>
        <v>6.0362173038229381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v>
      </c>
      <c r="Q8" s="42">
        <f>(C$67*L67)-C8</f>
        <v>988</v>
      </c>
      <c r="R8" s="42">
        <f t="shared" si="5"/>
        <v>994.05</v>
      </c>
      <c r="S8" s="30">
        <f t="shared" si="6"/>
        <v>89.464500000000015</v>
      </c>
      <c r="T8" s="30">
        <f t="shared" si="7"/>
        <v>294636.51</v>
      </c>
      <c r="U8" s="31">
        <f t="shared" si="8"/>
        <v>3.0364363194500238E-4</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5</v>
      </c>
      <c r="D11" s="34">
        <f>IF(((AND(C68&gt;0,C11&gt;0))),(C11/(C68)),0)</f>
        <v>83.333333333333343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1</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40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3</v>
      </c>
      <c r="R12" s="42">
        <f t="shared" si="5"/>
        <v>5</v>
      </c>
      <c r="S12" s="30">
        <f t="shared" si="6"/>
        <v>0</v>
      </c>
      <c r="T12" s="30">
        <f t="shared" si="7"/>
        <v>0</v>
      </c>
      <c r="U12" s="31" t="str">
        <f t="shared" si="8"/>
        <v>- -</v>
      </c>
    </row>
    <row r="13" spans="2:21" ht="18" customHeight="1" x14ac:dyDescent="0.25">
      <c r="B13" s="32" t="str">
        <f>'Data Entry'!A13</f>
        <v>8. Cases Resulting in Probation Placement</v>
      </c>
      <c r="C13" s="33">
        <f>'Data Entry'!C13</f>
        <v>3</v>
      </c>
      <c r="D13" s="34">
        <f>IF(((AND(C70&gt;0,C13&gt;0))),(C13/(C70)),0)</f>
        <v>150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0.99399999999999999</v>
      </c>
      <c r="D42" s="56">
        <f>E6/1000</f>
        <v>0</v>
      </c>
      <c r="E42" s="56">
        <f>MAX(C42:D42)</f>
        <v>0.99399999999999999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0.06</v>
      </c>
      <c r="D44" s="56">
        <f>E8/100</f>
        <v>0</v>
      </c>
      <c r="E44" s="56">
        <f>MAX(C44:D44,0)</f>
        <v>0.06</v>
      </c>
      <c r="G44" s="1" t="str">
        <f>B44</f>
        <v>per 100 referrals</v>
      </c>
      <c r="L44" s="57">
        <v>100</v>
      </c>
      <c r="M44" s="57"/>
      <c r="R44" s="49"/>
    </row>
    <row r="45" spans="2:18" ht="15" hidden="1" customHeight="1" x14ac:dyDescent="0.25">
      <c r="B45" s="49" t="s">
        <v>89</v>
      </c>
      <c r="C45" s="49">
        <f>C11/100</f>
        <v>0.05</v>
      </c>
      <c r="D45" s="49">
        <f>E11/100</f>
        <v>0</v>
      </c>
      <c r="E45" s="56">
        <f>MAX(C45:D45,0)</f>
        <v>0.05</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0.99399999999999999</v>
      </c>
      <c r="D48" s="56">
        <f>D42</f>
        <v>0</v>
      </c>
      <c r="E48" s="56">
        <f>MAX(C48:D48)</f>
        <v>0.99399999999999999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0.99399999999999999</v>
      </c>
      <c r="D49" s="49">
        <f t="shared" si="9"/>
        <v>0</v>
      </c>
      <c r="E49" s="49">
        <f>MAX(C49:D49)</f>
        <v>0.99399999999999999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0.99399999999999999</v>
      </c>
      <c r="D54" s="56">
        <f>D48</f>
        <v>0</v>
      </c>
      <c r="E54" s="56">
        <f>MAX(C54:D54)</f>
        <v>0.99399999999999999</v>
      </c>
      <c r="G54" s="1" t="str">
        <f>G48</f>
        <v>per 1000 youth</v>
      </c>
      <c r="L54" s="58">
        <f>L48</f>
        <v>1000</v>
      </c>
      <c r="M54" s="58"/>
    </row>
    <row r="55" spans="2:18" ht="15" hidden="1" customHeight="1" x14ac:dyDescent="0.25">
      <c r="B55" s="49" t="str">
        <f t="shared" ref="B55:D56" si="10">IF(($E49&gt;0),B49,B48)</f>
        <v>per 1000 youth</v>
      </c>
      <c r="C55" s="49">
        <f t="shared" si="10"/>
        <v>0.99399999999999999</v>
      </c>
      <c r="D55" s="49">
        <f t="shared" si="10"/>
        <v>0</v>
      </c>
      <c r="E55" s="49">
        <f>MAX(C55:D55)</f>
        <v>0.99399999999999999</v>
      </c>
      <c r="G55" s="1" t="str">
        <f>G49</f>
        <v>per 100 arrests</v>
      </c>
      <c r="L55" s="58">
        <f>IF(($E49&gt;0),L49,L48)</f>
        <v>1000</v>
      </c>
      <c r="M55" s="58"/>
    </row>
    <row r="56" spans="2:18" ht="15" hidden="1" customHeight="1" x14ac:dyDescent="0.25">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0.99399999999999999</v>
      </c>
      <c r="D60" s="56">
        <f>D54</f>
        <v>0</v>
      </c>
      <c r="E60" s="56">
        <f>MAX(C60:D60)</f>
        <v>0.99399999999999999</v>
      </c>
      <c r="G60" s="1" t="str">
        <f>G54</f>
        <v>per 1000 youth</v>
      </c>
      <c r="L60" s="58">
        <f>L54</f>
        <v>1000</v>
      </c>
      <c r="M60" s="58"/>
    </row>
    <row r="61" spans="2:18" ht="15" hidden="1" customHeight="1" x14ac:dyDescent="0.25">
      <c r="B61" s="49" t="str">
        <f t="shared" ref="B61:D62" si="11">IF(($E55&gt;0),B55,B54)</f>
        <v>per 1000 youth</v>
      </c>
      <c r="C61" s="49">
        <f t="shared" si="11"/>
        <v>0.99399999999999999</v>
      </c>
      <c r="D61" s="49">
        <f t="shared" si="11"/>
        <v>0</v>
      </c>
      <c r="E61" s="49">
        <f>MAX(C61:D61)</f>
        <v>0.99399999999999999</v>
      </c>
      <c r="G61" s="1" t="str">
        <f>G55</f>
        <v>per 100 arrests</v>
      </c>
      <c r="L61" s="58">
        <f>IF(($E55&gt;0),L55,L54)</f>
        <v>1000</v>
      </c>
      <c r="M61" s="58"/>
    </row>
    <row r="62" spans="2:18" ht="15" hidden="1" customHeight="1" x14ac:dyDescent="0.25">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0.99399999999999999</v>
      </c>
      <c r="D66" s="56">
        <f>D60</f>
        <v>0</v>
      </c>
      <c r="E66" s="56">
        <f>MAX(C66:D66)</f>
        <v>0.99399999999999999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0.99399999999999999</v>
      </c>
      <c r="D67" s="49">
        <f t="shared" si="12"/>
        <v>0</v>
      </c>
      <c r="E67" s="49">
        <f>MAX(C67:D67)</f>
        <v>0.99399999999999999</v>
      </c>
      <c r="G67" s="1" t="str">
        <f>G61</f>
        <v>per 100 arrests</v>
      </c>
      <c r="L67" s="58">
        <f>IF(($E61&gt;0),L61,L60)</f>
        <v>1000</v>
      </c>
      <c r="M67" s="58">
        <f>IF((B67=G67),1,2)</f>
        <v>2</v>
      </c>
    </row>
    <row r="68" spans="2:13" ht="15" hidden="1" customHeight="1" x14ac:dyDescent="0.25">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x14ac:dyDescent="0.25">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Arenac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994</v>
      </c>
      <c r="D6" s="34"/>
      <c r="E6" s="33">
        <f>'Data Entry'!H6</f>
        <v>19</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19</v>
      </c>
      <c r="P7" s="42">
        <f t="shared" ref="P7:P15" si="4">C7</f>
        <v>0</v>
      </c>
      <c r="Q7" s="42">
        <f>C6-C7</f>
        <v>994</v>
      </c>
      <c r="R7" s="42">
        <f t="shared" ref="R7:R15" si="5">SUM(N7:Q7)</f>
        <v>1013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v>
      </c>
      <c r="D8" s="34">
        <f>IF((AND(C67&gt;0,C8&gt;0)),(C8/C67),0)</f>
        <v>6.0362173038229381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19.05</v>
      </c>
      <c r="P8" s="42">
        <f t="shared" si="4"/>
        <v>6</v>
      </c>
      <c r="Q8" s="42">
        <f>(C$67*L67)-C8</f>
        <v>988</v>
      </c>
      <c r="R8" s="42">
        <f t="shared" si="5"/>
        <v>1013.05</v>
      </c>
      <c r="S8" s="30">
        <f t="shared" si="6"/>
        <v>13234981.594500003</v>
      </c>
      <c r="T8" s="30">
        <f t="shared" si="7"/>
        <v>114415180.11</v>
      </c>
      <c r="U8" s="31">
        <f t="shared" si="8"/>
        <v>0.11567504925286791</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5</v>
      </c>
      <c r="D11" s="34">
        <f>IF(((AND(C68&gt;0,C11&gt;0))),(C11/(C68)),0)</f>
        <v>83.333333333333343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1</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40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3</v>
      </c>
      <c r="R12" s="42">
        <f t="shared" si="5"/>
        <v>5</v>
      </c>
      <c r="S12" s="30">
        <f t="shared" si="6"/>
        <v>0</v>
      </c>
      <c r="T12" s="30">
        <f t="shared" si="7"/>
        <v>0</v>
      </c>
      <c r="U12" s="31" t="str">
        <f t="shared" si="8"/>
        <v>- -</v>
      </c>
    </row>
    <row r="13" spans="2:21" ht="18" customHeight="1" x14ac:dyDescent="0.25">
      <c r="B13" s="32" t="str">
        <f>'Data Entry'!A13</f>
        <v>8. Cases Resulting in Probation Placement</v>
      </c>
      <c r="C13" s="33">
        <f>'Data Entry'!C13</f>
        <v>3</v>
      </c>
      <c r="D13" s="34">
        <f>IF(((AND(C70&gt;0,C13&gt;0))),(C13/(C70)),0)</f>
        <v>150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0.99399999999999999</v>
      </c>
      <c r="D42" s="56">
        <f>E6/1000</f>
        <v>1.9E-2</v>
      </c>
      <c r="E42" s="56">
        <f>MAX(C42:D42)</f>
        <v>0.99399999999999999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0.06</v>
      </c>
      <c r="D44" s="56">
        <f>E8/100</f>
        <v>0</v>
      </c>
      <c r="E44" s="56">
        <f>MAX(C44:D44,0)</f>
        <v>0.06</v>
      </c>
      <c r="G44" s="1" t="str">
        <f>B44</f>
        <v>per 100 referrals</v>
      </c>
      <c r="L44" s="57">
        <v>100</v>
      </c>
      <c r="M44" s="57"/>
      <c r="R44" s="49"/>
    </row>
    <row r="45" spans="2:18" ht="15" hidden="1" customHeight="1" x14ac:dyDescent="0.25">
      <c r="B45" s="49" t="s">
        <v>89</v>
      </c>
      <c r="C45" s="49">
        <f>C11/100</f>
        <v>0.05</v>
      </c>
      <c r="D45" s="49">
        <f>E11/100</f>
        <v>0</v>
      </c>
      <c r="E45" s="56">
        <f>MAX(C45:D45,0)</f>
        <v>0.05</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0.99399999999999999</v>
      </c>
      <c r="D48" s="56">
        <f>D42</f>
        <v>1.9E-2</v>
      </c>
      <c r="E48" s="56">
        <f>MAX(C48:D48)</f>
        <v>0.99399999999999999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0.99399999999999999</v>
      </c>
      <c r="D49" s="49">
        <f t="shared" si="9"/>
        <v>1.9E-2</v>
      </c>
      <c r="E49" s="49">
        <f>MAX(C49:D49)</f>
        <v>0.99399999999999999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0.99399999999999999</v>
      </c>
      <c r="D54" s="56">
        <f>D48</f>
        <v>1.9E-2</v>
      </c>
      <c r="E54" s="56">
        <f>MAX(C54:D54)</f>
        <v>0.99399999999999999</v>
      </c>
      <c r="G54" s="1" t="str">
        <f>G48</f>
        <v>per 1000 youth</v>
      </c>
      <c r="L54" s="58">
        <f>L48</f>
        <v>1000</v>
      </c>
      <c r="M54" s="58"/>
    </row>
    <row r="55" spans="2:18" ht="15" hidden="1" customHeight="1" x14ac:dyDescent="0.25">
      <c r="B55" s="49" t="str">
        <f t="shared" ref="B55:D56" si="10">IF(($E49&gt;0),B49,B48)</f>
        <v>per 1000 youth</v>
      </c>
      <c r="C55" s="49">
        <f t="shared" si="10"/>
        <v>0.99399999999999999</v>
      </c>
      <c r="D55" s="49">
        <f t="shared" si="10"/>
        <v>1.9E-2</v>
      </c>
      <c r="E55" s="49">
        <f>MAX(C55:D55)</f>
        <v>0.99399999999999999</v>
      </c>
      <c r="G55" s="1" t="str">
        <f>G49</f>
        <v>per 100 arrests</v>
      </c>
      <c r="L55" s="58">
        <f>IF(($E49&gt;0),L49,L48)</f>
        <v>1000</v>
      </c>
      <c r="M55" s="58"/>
    </row>
    <row r="56" spans="2:18" ht="15" hidden="1" customHeight="1" x14ac:dyDescent="0.25">
      <c r="B56" s="49" t="str">
        <f t="shared" si="10"/>
        <v>per 100 referrals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0.99399999999999999</v>
      </c>
      <c r="D60" s="56">
        <f>D54</f>
        <v>1.9E-2</v>
      </c>
      <c r="E60" s="56">
        <f>MAX(C60:D60)</f>
        <v>0.99399999999999999</v>
      </c>
      <c r="G60" s="1" t="str">
        <f>G54</f>
        <v>per 1000 youth</v>
      </c>
      <c r="L60" s="58">
        <f>L54</f>
        <v>1000</v>
      </c>
      <c r="M60" s="58"/>
    </row>
    <row r="61" spans="2:18" ht="15" hidden="1" customHeight="1" x14ac:dyDescent="0.25">
      <c r="B61" s="49" t="str">
        <f t="shared" ref="B61:D62" si="11">IF(($E55&gt;0),B55,B54)</f>
        <v>per 1000 youth</v>
      </c>
      <c r="C61" s="49">
        <f t="shared" si="11"/>
        <v>0.99399999999999999</v>
      </c>
      <c r="D61" s="49">
        <f t="shared" si="11"/>
        <v>1.9E-2</v>
      </c>
      <c r="E61" s="49">
        <f>MAX(C61:D61)</f>
        <v>0.99399999999999999</v>
      </c>
      <c r="G61" s="1" t="str">
        <f>G55</f>
        <v>per 100 arrests</v>
      </c>
      <c r="L61" s="58">
        <f>IF(($E55&gt;0),L55,L54)</f>
        <v>1000</v>
      </c>
      <c r="M61" s="58"/>
    </row>
    <row r="62" spans="2:18" ht="15" hidden="1" customHeight="1" x14ac:dyDescent="0.25">
      <c r="B62" s="49" t="str">
        <f t="shared" si="11"/>
        <v>per 100 referrals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0.99399999999999999</v>
      </c>
      <c r="D66" s="56">
        <f>D60</f>
        <v>1.9E-2</v>
      </c>
      <c r="E66" s="56">
        <f>MAX(C66:D66)</f>
        <v>0.99399999999999999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0.99399999999999999</v>
      </c>
      <c r="D67" s="49">
        <f t="shared" si="12"/>
        <v>1.9E-2</v>
      </c>
      <c r="E67" s="49">
        <f>MAX(C67:D67)</f>
        <v>0.99399999999999999</v>
      </c>
      <c r="G67" s="1" t="str">
        <f>G61</f>
        <v>per 100 arrests</v>
      </c>
      <c r="L67" s="58">
        <f>IF(($E61&gt;0),L61,L60)</f>
        <v>1000</v>
      </c>
      <c r="M67" s="58">
        <f>IF((B67=G67),1,2)</f>
        <v>2</v>
      </c>
    </row>
    <row r="68" spans="2:13" ht="15" hidden="1" customHeight="1" x14ac:dyDescent="0.25">
      <c r="B68" s="49" t="str">
        <f t="shared" si="12"/>
        <v>per 100 referrals</v>
      </c>
      <c r="C68" s="49">
        <f t="shared" si="12"/>
        <v>0.06</v>
      </c>
      <c r="D68" s="49">
        <f t="shared" si="12"/>
        <v>0</v>
      </c>
      <c r="E68" s="49">
        <f>MAX(C68:D68)</f>
        <v>0.06</v>
      </c>
      <c r="G68" s="1" t="str">
        <f>G62</f>
        <v>per 100 referrals</v>
      </c>
      <c r="L68" s="58">
        <f>IF(($E62&gt;0),L62,L61)</f>
        <v>100</v>
      </c>
      <c r="M68" s="58">
        <f>IF((B68=G68),1,2)</f>
        <v>1</v>
      </c>
    </row>
    <row r="69" spans="2:13" ht="15" hidden="1" customHeight="1" x14ac:dyDescent="0.25">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U47JMPN4QEAR-1806752177-30243</_dlc_DocId>
    <_dlc_DocIdUrl xmlns="ac3811b5-0f3e-49e2-ba69-f2ffa0c782af">
      <Url>https://michiganphi.sharepoint.com/sites/CMDMC/_layouts/15/DocIdRedir.aspx?ID=U47JMPN4QEAR-1806752177-30243</Url>
      <Description>U47JMPN4QEAR-1806752177-30243</Description>
    </_dlc_DocIdUrl>
  </documentManagement>
</p:properties>
</file>

<file path=customXml/itemProps1.xml><?xml version="1.0" encoding="utf-8"?>
<ds:datastoreItem xmlns:ds="http://schemas.openxmlformats.org/officeDocument/2006/customXml" ds:itemID="{C76FF71D-ACBA-404E-A7C1-74795644CAE0}"/>
</file>

<file path=customXml/itemProps2.xml><?xml version="1.0" encoding="utf-8"?>
<ds:datastoreItem xmlns:ds="http://schemas.openxmlformats.org/officeDocument/2006/customXml" ds:itemID="{3D7E01EF-9D72-4485-ACAC-CF1528D29E55}"/>
</file>

<file path=customXml/itemProps3.xml><?xml version="1.0" encoding="utf-8"?>
<ds:datastoreItem xmlns:ds="http://schemas.openxmlformats.org/officeDocument/2006/customXml" ds:itemID="{47523366-3E8A-4F95-9B46-7767256E8462}"/>
</file>

<file path=customXml/itemProps4.xml><?xml version="1.0" encoding="utf-8"?>
<ds:datastoreItem xmlns:ds="http://schemas.openxmlformats.org/officeDocument/2006/customXml" ds:itemID="{1906C56A-7C42-4F4E-BB1D-FAEF2EC607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2023-01-30T14:54:59Z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199ee734-7192-43d3-87f2-8764bf52ce67</vt:lpwstr>
  </property>
</Properties>
</file>