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721C04C0-DB2C-4084-9293-B3C66E2027AF}" xr6:coauthVersionLast="47" xr6:coauthVersionMax="47" xr10:uidLastSave="{4AB69E34-DDA5-4EC6-AA24-7504E5A46E0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15" i="1"/>
  <c r="B14" i="1"/>
  <c r="B13" i="1"/>
  <c r="B12" i="1"/>
  <c r="B11" i="1"/>
  <c r="B10" i="1"/>
  <c r="B9" i="1"/>
  <c r="B8"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1" i="2"/>
  <c r="G57" i="2"/>
  <c r="G63" i="2" s="1"/>
  <c r="G69" i="2" s="1"/>
  <c r="G55" i="2"/>
  <c r="G61" i="2"/>
  <c r="G67" i="2"/>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c r="G69" i="7" s="1"/>
  <c r="G46" i="7"/>
  <c r="L48" i="7"/>
  <c r="G50" i="7"/>
  <c r="G56" i="7" s="1"/>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c r="G70"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6" l="1"/>
  <c r="F27" i="6"/>
  <c r="F27" i="3"/>
  <c r="M66" i="3"/>
  <c r="F27" i="5"/>
  <c r="M66" i="5"/>
  <c r="F27" i="2"/>
  <c r="M66" i="2"/>
  <c r="F27" i="4"/>
  <c r="M66" i="4"/>
  <c r="M66" i="8"/>
  <c r="F27" i="8"/>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L49" i="6" s="1"/>
  <c r="E43" i="7"/>
  <c r="B49" i="7" s="1"/>
  <c r="E44" i="6"/>
  <c r="E46" i="3"/>
  <c r="B52" i="3" s="1"/>
  <c r="E46" i="7"/>
  <c r="B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L49" i="7"/>
  <c r="E19" i="10"/>
  <c r="F25" i="10"/>
  <c r="C45" i="3"/>
  <c r="E45" i="3" s="1"/>
  <c r="P11" i="3"/>
  <c r="C45" i="2"/>
  <c r="P11" i="2"/>
  <c r="G8" i="5"/>
  <c r="G14" i="5"/>
  <c r="G11" i="5"/>
  <c r="G7" i="5"/>
  <c r="G12" i="5"/>
  <c r="G10" i="5"/>
  <c r="G13" i="5"/>
  <c r="G9" i="5"/>
  <c r="G15" i="5"/>
  <c r="O25" i="2"/>
  <c r="C49" i="3"/>
  <c r="D49" i="3"/>
  <c r="L49" i="3"/>
  <c r="B49" i="3"/>
  <c r="E46" i="2"/>
  <c r="D52" i="4"/>
  <c r="L52" i="4"/>
  <c r="B52" i="4"/>
  <c r="D49" i="6"/>
  <c r="D23" i="10"/>
  <c r="C48" i="7"/>
  <c r="E42" i="7"/>
  <c r="C54" i="8"/>
  <c r="E48" i="8"/>
  <c r="H26" i="10"/>
  <c r="D26" i="10"/>
  <c r="I26" i="10"/>
  <c r="C26" i="10"/>
  <c r="E20" i="10"/>
  <c r="C20" i="10"/>
  <c r="G20" i="10"/>
  <c r="H20" i="10"/>
  <c r="D20" i="10"/>
  <c r="G23" i="10"/>
  <c r="G19" i="10"/>
  <c r="E44" i="7"/>
  <c r="H23" i="10"/>
  <c r="E22" i="10"/>
  <c r="E25" i="10"/>
  <c r="F20" i="10"/>
  <c r="B49" i="6" l="1"/>
  <c r="C49" i="6"/>
  <c r="D50" i="5"/>
  <c r="E50" i="5" s="1"/>
  <c r="D52" i="3"/>
  <c r="L52" i="7"/>
  <c r="D52" i="7"/>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E52" i="7"/>
  <c r="E49" i="5"/>
  <c r="B55" i="5" s="1"/>
  <c r="D51" i="2"/>
  <c r="L56"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5" i="5" l="1"/>
  <c r="D55" i="5"/>
  <c r="C55" i="5"/>
  <c r="B58" i="8"/>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C57" i="5"/>
  <c r="C66" i="6"/>
  <c r="E60" i="6"/>
  <c r="C66" i="2"/>
  <c r="E60" i="2"/>
  <c r="E56" i="6"/>
  <c r="E55" i="6"/>
  <c r="E55" i="7"/>
  <c r="E58" i="7"/>
  <c r="L64" i="3" l="1"/>
  <c r="B56" i="8"/>
  <c r="L56" i="8"/>
  <c r="D64" i="5"/>
  <c r="C64" i="5"/>
  <c r="C57" i="8"/>
  <c r="C64" i="8" s="1"/>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C70" i="5" l="1"/>
  <c r="D70" i="5"/>
  <c r="F14" i="5" s="1"/>
  <c r="L70" i="5"/>
  <c r="L63" i="8"/>
  <c r="L70" i="8" s="1"/>
  <c r="D63" i="8"/>
  <c r="D70" i="8" s="1"/>
  <c r="F13" i="8" s="1"/>
  <c r="D70" i="6"/>
  <c r="F13" i="6" s="1"/>
  <c r="E63" i="3"/>
  <c r="C69" i="3" s="1"/>
  <c r="D12" i="3" s="1"/>
  <c r="B70" i="3"/>
  <c r="M70" i="3" s="1"/>
  <c r="C63" i="8"/>
  <c r="C69" i="7"/>
  <c r="D12" i="7" s="1"/>
  <c r="L69" i="7"/>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14" i="6" l="1"/>
  <c r="Q13" i="5"/>
  <c r="O13" i="5"/>
  <c r="O14" i="5"/>
  <c r="D14" i="5"/>
  <c r="E70" i="6"/>
  <c r="F13" i="5"/>
  <c r="Q14" i="5"/>
  <c r="R14" i="5" s="1"/>
  <c r="S14" i="5" s="1"/>
  <c r="U14" i="5" s="1"/>
  <c r="J14" i="5" s="1"/>
  <c r="M14" i="5" s="1"/>
  <c r="D13" i="5"/>
  <c r="L69" i="3"/>
  <c r="Q12" i="3" s="1"/>
  <c r="D15" i="3"/>
  <c r="O14" i="6"/>
  <c r="E63" i="8"/>
  <c r="D69" i="8" s="1"/>
  <c r="O13" i="6"/>
  <c r="D69" i="3"/>
  <c r="E69" i="3" s="1"/>
  <c r="B69" i="3"/>
  <c r="M69" i="3" s="1"/>
  <c r="C70" i="8"/>
  <c r="Q13" i="8" s="1"/>
  <c r="F34" i="3"/>
  <c r="F33" i="3"/>
  <c r="B69" i="6"/>
  <c r="M69" i="6" s="1"/>
  <c r="D15" i="7"/>
  <c r="C69" i="6"/>
  <c r="D12" i="6" s="1"/>
  <c r="D13" i="3"/>
  <c r="Q12" i="7"/>
  <c r="D13" i="6"/>
  <c r="O13" i="3"/>
  <c r="F14" i="3"/>
  <c r="Q15" i="7"/>
  <c r="E69" i="7"/>
  <c r="Q14" i="3"/>
  <c r="F12" i="7"/>
  <c r="O12" i="7"/>
  <c r="D14" i="6"/>
  <c r="O15" i="7"/>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T9" i="3"/>
  <c r="F34" i="8"/>
  <c r="F33" i="8"/>
  <c r="C70" i="2"/>
  <c r="D14" i="2" s="1"/>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K14" i="5"/>
  <c r="C69" i="8"/>
  <c r="Q15" i="3"/>
  <c r="O15" i="3"/>
  <c r="O12" i="3"/>
  <c r="R12" i="3" s="1"/>
  <c r="S12" i="3" s="1"/>
  <c r="U12" i="3" s="1"/>
  <c r="J12" i="3" s="1"/>
  <c r="F32" i="3"/>
  <c r="T14" i="5"/>
  <c r="D13" i="8"/>
  <c r="E70" i="8"/>
  <c r="T14" i="6"/>
  <c r="D14" i="8"/>
  <c r="L69" i="8"/>
  <c r="O15" i="8" s="1"/>
  <c r="K13" i="6"/>
  <c r="F12" i="3"/>
  <c r="F35" i="3"/>
  <c r="K14" i="6"/>
  <c r="R13" i="8"/>
  <c r="S13" i="8" s="1"/>
  <c r="U13" i="8" s="1"/>
  <c r="J13" i="8" s="1"/>
  <c r="M13" i="8" s="1"/>
  <c r="G13" i="8" s="1"/>
  <c r="K14" i="16" s="1"/>
  <c r="Q14" i="8"/>
  <c r="K14" i="8" s="1"/>
  <c r="T12" i="7"/>
  <c r="R13" i="6"/>
  <c r="S13" i="6" s="1"/>
  <c r="U13" i="6" s="1"/>
  <c r="J13" i="6" s="1"/>
  <c r="M13" i="6" s="1"/>
  <c r="G13" i="6" s="1"/>
  <c r="M14" i="13" s="1"/>
  <c r="F35" i="6"/>
  <c r="F32" i="6"/>
  <c r="R14" i="6"/>
  <c r="S14" i="6" s="1"/>
  <c r="U14" i="6" s="1"/>
  <c r="J14" i="6" s="1"/>
  <c r="M14" i="6" s="1"/>
  <c r="G14" i="6" s="1"/>
  <c r="M15" i="13" s="1"/>
  <c r="E69" i="6"/>
  <c r="D15" i="6"/>
  <c r="K15" i="7"/>
  <c r="O15" i="6"/>
  <c r="T13" i="6"/>
  <c r="R12" i="7"/>
  <c r="S12" i="7" s="1"/>
  <c r="U12" i="7" s="1"/>
  <c r="J12" i="7" s="1"/>
  <c r="K12" i="7"/>
  <c r="R15" i="7"/>
  <c r="S15" i="7" s="1"/>
  <c r="U15" i="7" s="1"/>
  <c r="J15" i="7" s="1"/>
  <c r="Q12" i="6"/>
  <c r="Q15" i="6"/>
  <c r="T13" i="8"/>
  <c r="O12" i="6"/>
  <c r="R14" i="3"/>
  <c r="S14" i="3" s="1"/>
  <c r="U14" i="3" s="1"/>
  <c r="J14" i="3" s="1"/>
  <c r="M14" i="3" s="1"/>
  <c r="G14" i="3" s="1"/>
  <c r="I15" i="16" s="1"/>
  <c r="K13" i="3"/>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U13" i="7" s="1"/>
  <c r="J13" i="7" s="1"/>
  <c r="M13" i="7" s="1"/>
  <c r="Q13" i="2"/>
  <c r="U9" i="3"/>
  <c r="J9" i="3" s="1"/>
  <c r="L9" i="3" s="1"/>
  <c r="K15" i="3"/>
  <c r="T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2" i="3" l="1"/>
  <c r="T14" i="8"/>
  <c r="I13" i="9"/>
  <c r="Q14" i="13"/>
  <c r="L13" i="8"/>
  <c r="T14" i="16" s="1"/>
  <c r="R14" i="8"/>
  <c r="S14" i="8" s="1"/>
  <c r="U14" i="8" s="1"/>
  <c r="J14" i="8" s="1"/>
  <c r="N30" i="8" s="1"/>
  <c r="G13" i="9"/>
  <c r="L13" i="6"/>
  <c r="R14" i="16" s="1"/>
  <c r="L13" i="3"/>
  <c r="P14" i="16" s="1"/>
  <c r="K15" i="6"/>
  <c r="L12" i="7"/>
  <c r="S13" i="16" s="1"/>
  <c r="R12" i="6"/>
  <c r="S12" i="6" s="1"/>
  <c r="L15" i="7"/>
  <c r="S16" i="16" s="1"/>
  <c r="E14" i="9"/>
  <c r="K12" i="6"/>
  <c r="N30" i="3"/>
  <c r="M15" i="7"/>
  <c r="T15" i="6"/>
  <c r="T12" i="6"/>
  <c r="M12" i="7"/>
  <c r="I15" i="13"/>
  <c r="M13" i="3"/>
  <c r="G13" i="3" s="1"/>
  <c r="I14" i="13" s="1"/>
  <c r="R15" i="6"/>
  <c r="S15" i="6" s="1"/>
  <c r="U15" i="6" s="1"/>
  <c r="J15" i="6" s="1"/>
  <c r="L14" i="3"/>
  <c r="P15" i="16" s="1"/>
  <c r="M13" i="9"/>
  <c r="U14" i="13"/>
  <c r="U12" i="13"/>
  <c r="M11" i="9"/>
  <c r="R12" i="8"/>
  <c r="S12" i="8" s="1"/>
  <c r="T13" i="2"/>
  <c r="U8" i="6"/>
  <c r="J8" i="6" s="1"/>
  <c r="M8" i="6" s="1"/>
  <c r="G8" i="6" s="1"/>
  <c r="M9" i="13" s="1"/>
  <c r="R13" i="2"/>
  <c r="S13" i="2" s="1"/>
  <c r="U13" i="2" s="1"/>
  <c r="J13" i="2" s="1"/>
  <c r="M13" i="2" s="1"/>
  <c r="G13" i="2" s="1"/>
  <c r="E14" i="16" s="1"/>
  <c r="T15" i="8"/>
  <c r="V11" i="13"/>
  <c r="G14" i="9"/>
  <c r="T12" i="8"/>
  <c r="K12" i="8"/>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D13" i="9"/>
  <c r="G14" i="13"/>
  <c r="K9" i="7"/>
  <c r="T14" i="2"/>
  <c r="V12" i="13"/>
  <c r="U10" i="13"/>
  <c r="N11" i="9"/>
  <c r="T15" i="5"/>
  <c r="W14" i="13"/>
  <c r="L15" i="3"/>
  <c r="P16" i="16" s="1"/>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X14" i="13" l="1"/>
  <c r="P13" i="9"/>
  <c r="V14" i="13"/>
  <c r="N13" i="9"/>
  <c r="Y16" i="13"/>
  <c r="Z14" i="13"/>
  <c r="Q15" i="9"/>
  <c r="R13" i="9"/>
  <c r="L15" i="6"/>
  <c r="R16" i="16" s="1"/>
  <c r="Q12" i="9"/>
  <c r="Y13" i="13"/>
  <c r="U10" i="7"/>
  <c r="J10" i="7" s="1"/>
  <c r="M10" i="7" s="1"/>
  <c r="U12" i="6"/>
  <c r="J12" i="6" s="1"/>
  <c r="L12" i="6" s="1"/>
  <c r="U14" i="2"/>
  <c r="J14" i="2" s="1"/>
  <c r="M14" i="2" s="1"/>
  <c r="G14" i="2" s="1"/>
  <c r="E15" i="16" s="1"/>
  <c r="U11" i="7"/>
  <c r="J11" i="7" s="1"/>
  <c r="M11" i="7" s="1"/>
  <c r="E13" i="9"/>
  <c r="I14" i="16"/>
  <c r="N14" i="9"/>
  <c r="M14" i="8"/>
  <c r="G14" i="8" s="1"/>
  <c r="K15" i="16" s="1"/>
  <c r="L14" i="8"/>
  <c r="T15" i="16" s="1"/>
  <c r="U12" i="8"/>
  <c r="J12" i="8" s="1"/>
  <c r="L12" i="8" s="1"/>
  <c r="T13" i="16" s="1"/>
  <c r="V15" i="13"/>
  <c r="M15" i="6"/>
  <c r="G15" i="6" s="1"/>
  <c r="M16" i="13" s="1"/>
  <c r="L8" i="6"/>
  <c r="R9" i="16" s="1"/>
  <c r="L15" i="5"/>
  <c r="Q16" i="16" s="1"/>
  <c r="T9" i="13"/>
  <c r="L8" i="9"/>
  <c r="X15" i="13"/>
  <c r="P14" i="9"/>
  <c r="G8" i="9"/>
  <c r="Q14" i="9"/>
  <c r="Y15" i="13"/>
  <c r="Y14" i="13"/>
  <c r="E9" i="13"/>
  <c r="Q13" i="9"/>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5" i="9" l="1"/>
  <c r="X16" i="13"/>
  <c r="L10" i="7"/>
  <c r="S11" i="16" s="1"/>
  <c r="L11" i="7"/>
  <c r="S12" i="16" s="1"/>
  <c r="M12" i="6"/>
  <c r="G12" i="6" s="1"/>
  <c r="M13" i="13" s="1"/>
  <c r="R13" i="16"/>
  <c r="P12" i="9"/>
  <c r="C14" i="9"/>
  <c r="N30" i="2"/>
  <c r="X13" i="13"/>
  <c r="L14" i="2"/>
  <c r="N15" i="16" s="1"/>
  <c r="E15" i="13"/>
  <c r="G15" i="9"/>
  <c r="Z15" i="13"/>
  <c r="Q15" i="13"/>
  <c r="M12" i="8"/>
  <c r="G12" i="8" s="1"/>
  <c r="K13" i="16" s="1"/>
  <c r="R14" i="9"/>
  <c r="I14" i="9"/>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Q11" i="9" l="1"/>
  <c r="G12" i="9"/>
  <c r="Y12" i="13"/>
  <c r="L14" i="9"/>
  <c r="T15" i="13"/>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<sst xmlns="http://schemas.openxmlformats.org/spreadsheetml/2006/main" count="654" uniqueCount="141">
  <si>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</si>
  <si>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</si>
  <si>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</si>
  <si>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</si>
  <si>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</si>
  <si>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</si>
  <si>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</si>
  <si>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</si>
  <si>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</si>
  <si>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</si>
  <si>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</si>
  <si>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</si>
  <si>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</si>
  <si>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</si>
  <si>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</si>
  <si>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</si>
  <si>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</si>
  <si>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</si>
  <si>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</si>
  <si>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</si>
  <si>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</si>
  <si>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</si>
  <si>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</si>
  <si>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</si>
  <si>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</si>
  <si>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</si>
  <si>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</si>
  <si>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</si>
  <si>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</si>
  <si>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</si>
  <si>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</si>
  <si>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</si>
  <si>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</si>
  <si>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</si>
  <si>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</si>
  <si>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</si>
  <si>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</si>
  <si>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</si>
  <si>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</si>
  <si>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</si>
  <si>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</si>
  <si>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</si>
  <si>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</si>
  <si>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</si>
  <si>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</si>
  <si>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</si>
  <si>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</si>
  <si>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</si>
  <si>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</si>
  <si>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</si>
  <si>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</si>
  <si>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</si>
  <si>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</si>
  <si>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</si>
  <si>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</si>
  <si>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</si>
  <si>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</si>
  <si>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</si>
  <si>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</si>
  <si>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</si>
  <si>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</si>
  <si>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</si>
  <si>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</si>
  <si>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</si>
  <si>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</si>
  <si>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</si>
  <si>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</si>
  <si>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</si>
  <si>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</si>
  <si>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</si>
  <si>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</si>
  <si>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</si>
  <si>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</si>
  <si>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</si>
  <si>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</si>
  <si>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</si>
  <si>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</si>
  <si>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</si>
  <si>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</si>
  <si>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</si>
  <si>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</si>
  <si>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</si>
  <si>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</si>
  <si>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</si>
  <si>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</si>
  <si>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</si>
  <si>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</si>
  <si>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</si>
  <si>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</si>
  <si>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</si>
  <si>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</si>
  <si>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</si>
  <si>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</si>
  <si>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</si>
  <si>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</si>
  <si>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</si>
  <si>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</si>
  <si>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</si>
  <si>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</si>
  <si>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</si>
  <si>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</si>
  <si>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</si>
  <si>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</si>
  <si>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</si>
  <si>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</si>
  <si>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</si>
  <si>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</si>
  <si>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</si>
  <si>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</si>
  <si>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</si>
  <si>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</si>
  <si>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</si>
  <si>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</si>
  <si>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</si>
  <si>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</si>
  <si>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</si>
  <si>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</si>
  <si>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</si>
  <si>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</si>
  <si>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</si>
  <si>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</si>
  <si>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</si>
  <si>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</si>
  <si>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</si>
  <si>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</si>
  <si>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</si>
  <si>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</si>
  <si>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</si>
  <si>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</si>
  <si>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</si>
  <si>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</si>
  <si>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</si>
  <si>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</si>
  <si>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</si>
  <si>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</si>
  <si>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</si>
  <si>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Antrim</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</si>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</sst>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Antrim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N=2024</c:v>
                </c:pt>
              </c:strCache>
            </c:strRef>
          </c:cat>
          <c:val>
            <c:numRef>
              <c:f>'Stacked 100%'!$B$7:$B$14</c:f>
              <c:numCache>
                <c:formatCode>0%</c:formatCode>
                <c:ptCount val="8"/>
                <c:pt idx="0">
                  <c:v>0</c:v>
                </c:pt>
                <c:pt idx="1">
                  <c:v>0</c:v>
                </c:pt>
                <c:pt idx="2">
                  <c:v>0</c:v>
                </c:pt>
                <c:pt idx="3">
                  <c:v>0</c:v>
                </c:pt>
                <c:pt idx="4">
                  <c:v>0</c:v>
                </c:pt>
                <c:pt idx="5">
                  <c:v>0</c:v>
                </c:pt>
                <c:pt idx="6">
                  <c:v>0.16666666666666666</c:v>
                </c:pt>
                <c:pt idx="7">
                  <c:v>9.881422924901186E-3</c:v>
                </c:pt>
              </c:numCache>
            </c:numRef>
          </c:val>
          <c:extLst>
            <c:ext xmlns:c16="http://schemas.microsoft.com/office/drawing/2014/chart" uri="{C3380CC4-5D6E-409C-BE32-E72D297353CC}">
              <c16:uniqueId val="{00000000-312E-4CBE-BC24-2C1028BBA22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N=2024</c:v>
                </c:pt>
              </c:strCache>
            </c:strRef>
          </c:cat>
          <c:val>
            <c:numRef>
              <c:f>'Stacked 100%'!$C$7:$C$14</c:f>
              <c:numCache>
                <c:formatCode>0%</c:formatCode>
                <c:ptCount val="8"/>
                <c:pt idx="0">
                  <c:v>0</c:v>
                </c:pt>
                <c:pt idx="1">
                  <c:v>0</c:v>
                </c:pt>
                <c:pt idx="2">
                  <c:v>0</c:v>
                </c:pt>
                <c:pt idx="3">
                  <c:v>0</c:v>
                </c:pt>
                <c:pt idx="4">
                  <c:v>0</c:v>
                </c:pt>
                <c:pt idx="5">
                  <c:v>0</c:v>
                </c:pt>
                <c:pt idx="6">
                  <c:v>0</c:v>
                </c:pt>
                <c:pt idx="7">
                  <c:v>3.4584980237154152E-2</c:v>
                </c:pt>
              </c:numCache>
            </c:numRef>
          </c:val>
          <c:extLst>
            <c:ext xmlns:c16="http://schemas.microsoft.com/office/drawing/2014/chart" uri="{C3380CC4-5D6E-409C-BE32-E72D297353CC}">
              <c16:uniqueId val="{00000001-312E-4CBE-BC24-2C1028BBA22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N=2024</c:v>
                </c:pt>
              </c:strCache>
            </c:strRef>
          </c:cat>
          <c:val>
            <c:numRef>
              <c:f>'Stacked 100%'!$H$7:$H$14</c:f>
              <c:numCache>
                <c:formatCode>0%</c:formatCode>
                <c:ptCount val="8"/>
                <c:pt idx="0">
                  <c:v>0</c:v>
                </c:pt>
                <c:pt idx="1">
                  <c:v>0</c:v>
                </c:pt>
                <c:pt idx="2">
                  <c:v>0</c:v>
                </c:pt>
                <c:pt idx="3">
                  <c:v>0</c:v>
                </c:pt>
                <c:pt idx="4">
                  <c:v>0</c:v>
                </c:pt>
                <c:pt idx="5">
                  <c:v>0</c:v>
                </c:pt>
                <c:pt idx="6">
                  <c:v>0</c:v>
                </c:pt>
                <c:pt idx="7">
                  <c:v>1.0984783389835805E-5</c:v>
                </c:pt>
              </c:numCache>
            </c:numRef>
          </c:val>
          <c:extLst>
            <c:ext xmlns:c16="http://schemas.microsoft.com/office/drawing/2014/chart" uri="{C3380CC4-5D6E-409C-BE32-E72D297353CC}">
              <c16:uniqueId val="{00000002-312E-4CBE-BC24-2C1028BBA22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N=2024</c:v>
                </c:pt>
              </c:strCache>
            </c:strRef>
          </c:cat>
          <c:val>
            <c:numRef>
              <c:f>'Stacked 100%'!$I$7:$I$14</c:f>
              <c:numCache>
                <c:formatCode>0%</c:formatCode>
                <c:ptCount val="8"/>
                <c:pt idx="0">
                  <c:v>0</c:v>
                </c:pt>
                <c:pt idx="1">
                  <c:v>0</c:v>
                </c:pt>
                <c:pt idx="2">
                  <c:v>0</c:v>
                </c:pt>
                <c:pt idx="3">
                  <c:v>0</c:v>
                </c:pt>
                <c:pt idx="4">
                  <c:v>0</c:v>
                </c:pt>
                <c:pt idx="5">
                  <c:v>0</c:v>
                </c:pt>
                <c:pt idx="6">
                  <c:v>0.83333333333333337</c:v>
                </c:pt>
                <c:pt idx="7">
                  <c:v>0.93330039525691699</c:v>
                </c:pt>
              </c:numCache>
            </c:numRef>
          </c:val>
          <c:extLst>
            <c:ext xmlns:c16="http://schemas.microsoft.com/office/drawing/2014/chart" uri="{C3380CC4-5D6E-409C-BE32-E72D297353CC}">
              <c16:uniqueId val="{00000003-312E-4CBE-BC24-2C1028BBA229}"/>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N=6</c:v>
                </c:pt>
                <c:pt idx="7">
                  <c:v>Population, total N=2024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12E-4CBE-BC24-2C1028BBA229}"/>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9" sqref="K19"/>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2024</v>
      </c>
      <c r="C6" s="11">
        <v>1889</v>
      </c>
      <c r="D6" s="11">
        <v>20</v>
      </c>
      <c r="E6" s="11">
        <v>70</v>
      </c>
      <c r="F6" s="11">
        <v>13</v>
      </c>
      <c r="G6" s="11"/>
      <c r="H6" s="11">
        <v>32</v>
      </c>
      <c r="I6" s="11"/>
      <c r="J6" s="91">
        <f>SUM(D6:I6)</f>
        <v>135</v>
      </c>
      <c r="K6" s="92"/>
    </row>
    <row r="7" spans="1:11" ht="15.75" customHeight="1" thickBot="1">
      <c r="A7" s="10" t="s">
        <v>8</v>
      </c>
      <c r="B7" s="11">
        <f t="shared" ref="B7:B15" si="0">SUM(C7:I7)+K7</f>
        <v>6</v>
      </c>
      <c r="C7" s="11">
        <v>5</v>
      </c>
      <c r="D7" s="11">
        <v>1</v>
      </c>
      <c r="E7" s="11"/>
      <c r="F7" s="11"/>
      <c r="G7" s="11"/>
      <c r="H7" s="11"/>
      <c r="I7" s="11"/>
      <c r="J7" s="91">
        <f t="shared" ref="J7:J15" si="1">SUM(D7:I7)</f>
        <v>1</v>
      </c>
      <c r="K7" s="92"/>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No</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140</v>
      </c>
      <c r="B19" s="170"/>
      <c r="C19" s="8"/>
      <c r="D19" s="170" t="s">
        <v>137</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1889</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2.6469031233456857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1884</v>
      </c>
      <c r="R7" s="42">
        <f t="shared" ref="R7:R15" si="5">SUM(N7:Q7)</f>
        <v>1889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1.889</v>
      </c>
      <c r="D42" s="56">
        <f>E6/1000</f>
        <v>0</v>
      </c>
      <c r="E42" s="56">
        <f>MAX(C42:D42)</f>
        <v>1.889</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1.889</v>
      </c>
      <c r="D48" s="56">
        <f>D42</f>
        <v>0</v>
      </c>
      <c r="E48" s="56">
        <f>MAX(C48:D48)</f>
        <v>1.889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1.889</v>
      </c>
      <c r="D54" s="56">
        <f>D48</f>
        <v>0</v>
      </c>
      <c r="E54" s="56">
        <f>MAX(C54:D54)</f>
        <v>1.889</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1.889</v>
      </c>
      <c r="D60" s="56">
        <f>D54</f>
        <v>0</v>
      </c>
      <c r="E60" s="56">
        <f>MAX(C60:D60)</f>
        <v>1.889</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1.889</v>
      </c>
      <c r="D66" s="56">
        <f>D60</f>
        <v>0</v>
      </c>
      <c r="E66" s="56">
        <f>MAX(C66:D66)</f>
        <v>1.889</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1889</v>
      </c>
      <c r="D6" s="34"/>
      <c r="E6" s="33">
        <f>'Data Entry'!J6</f>
        <v>135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2.6469031233456857</v>
      </c>
      <c r="E7" s="33">
        <f>'Data Entry'!J7</f>
        <v>1</v>
      </c>
      <c r="F7" s="34">
        <f>IF((AND($E$7&gt;0,$D$66&gt;0)),($E$7/$D$66),0)</f>
        <v>7.4074074074074066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134</v>
      </c>
      <c r="P7" s="42">
        <f t="shared" ref="P7:P15" si="4">C7</f>
        <v>5</v>
      </c>
      <c r="Q7" s="42">
        <f>C6-C7</f>
        <v>1884</v>
      </c>
      <c r="R7" s="42">
        <f t="shared" ref="R7:R15" si="5">SUM(N7:Q7)</f>
        <v>2024</v>
      </c>
      <c r="S7" s="30">
        <f t="shared" ref="S7:S15" si="6">R7*((((N7*Q7)-(O7*P7))^2))</f>
        <v>2982963104</v>
      </c>
      <c r="T7" s="30">
        <f t="shared" ref="T7:T15" si="7">(N7+O7)*(P7+Q7)*(N7+P7)*(O7+Q7)</f>
        <v>3087721620</v>
      </c>
      <c r="U7" s="31">
        <f t="shared" ref="U7:U15" si="8">IF((S7&gt;0),S7/T7,"- -")</f>
        <v>0.96607255157930982</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5</v>
      </c>
      <c r="R8" s="42">
        <f t="shared" si="5"/>
        <v>6.05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5</v>
      </c>
      <c r="R9" s="42">
        <f t="shared" si="5"/>
        <v>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5</v>
      </c>
      <c r="R10" s="42">
        <f t="shared" si="5"/>
        <v>6</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5</v>
      </c>
      <c r="R11" s="42">
        <f t="shared" si="5"/>
        <v>6</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5</v>
      </c>
      <c r="R12" s="42">
        <f t="shared" si="5"/>
        <v>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5</v>
      </c>
      <c r="R14" s="42">
        <f t="shared" si="5"/>
        <v>6</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v>
      </c>
      <c r="R15" s="42">
        <f t="shared" si="5"/>
        <v>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1.889</v>
      </c>
      <c r="D42" s="56">
        <f>E6/1000</f>
        <v>0.13500000000000001</v>
      </c>
      <c r="E42" s="56">
        <f>MAX(C42:D42)</f>
        <v>1.889</v>
      </c>
      <c r="G42" s="1" t="str">
        <f>B42</f>
        <v>per 1000 youth</v>
      </c>
      <c r="L42" s="57">
        <v>1000</v>
      </c>
      <c r="M42" s="57"/>
      <c r="R42" s="49"/>
    </row>
    <row r="43" spans="2:18" ht="15" hidden="1" customHeight="1">
      <c r="B43" s="49" t="s">
        <v>87</v>
      </c>
      <c r="C43" s="56">
        <f>C7/100</f>
        <v>0.05</v>
      </c>
      <c r="D43" s="56">
        <f>E7/100</f>
        <v>0.01</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1.889</v>
      </c>
      <c r="D48" s="56">
        <f>D42</f>
        <v>0.13500000000000001</v>
      </c>
      <c r="E48" s="56">
        <f>MAX(C48:D48)</f>
        <v>1.889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0.01</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0.01</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1.889</v>
      </c>
      <c r="D54" s="56">
        <f>D48</f>
        <v>0.13500000000000001</v>
      </c>
      <c r="E54" s="56">
        <f>MAX(C54:D54)</f>
        <v>1.889</v>
      </c>
      <c r="G54" s="1" t="str">
        <f>G48</f>
        <v>per 1000 youth</v>
      </c>
      <c r="L54" s="58">
        <f>L48</f>
        <v>1000</v>
      </c>
      <c r="M54" s="58"/>
    </row>
    <row r="55" spans="2:18" ht="15" hidden="1" customHeight="1">
      <c r="B55" s="49" t="str">
        <f t="shared" ref="B55:D56" si="10">IF(($E49&gt;0),B49,B48)</f>
        <v>per 100 arrests</v>
      </c>
      <c r="C55" s="49">
        <f t="shared" si="10"/>
        <v>0.05</v>
      </c>
      <c r="D55" s="49">
        <f t="shared" si="10"/>
        <v>0.01</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0.01</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0.01</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1.889</v>
      </c>
      <c r="D60" s="56">
        <f>D54</f>
        <v>0.13500000000000001</v>
      </c>
      <c r="E60" s="56">
        <f>MAX(C60:D60)</f>
        <v>1.889</v>
      </c>
      <c r="G60" s="1" t="str">
        <f>G54</f>
        <v>per 1000 youth</v>
      </c>
      <c r="L60" s="58">
        <f>L54</f>
        <v>1000</v>
      </c>
      <c r="M60" s="58"/>
    </row>
    <row r="61" spans="2:18" ht="15" hidden="1" customHeight="1">
      <c r="B61" s="49" t="str">
        <f t="shared" ref="B61:D62" si="11">IF(($E55&gt;0),B55,B54)</f>
        <v>per 100 arrests</v>
      </c>
      <c r="C61" s="49">
        <f t="shared" si="11"/>
        <v>0.05</v>
      </c>
      <c r="D61" s="49">
        <f t="shared" si="11"/>
        <v>0.01</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0.01</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0.01</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0.01</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1.889</v>
      </c>
      <c r="D66" s="56">
        <f>D60</f>
        <v>0.13500000000000001</v>
      </c>
      <c r="E66" s="56">
        <f>MAX(C66:D66)</f>
        <v>1.889</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0.01</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0.01</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0.01</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0.01</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Antrim</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119</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No</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2024</v>
      </c>
      <c r="D3" s="57">
        <f>'Data Entry'!C6</f>
        <v>1889</v>
      </c>
      <c r="E3" s="57">
        <f>'Data Entry'!D6</f>
        <v>20</v>
      </c>
      <c r="F3" s="57">
        <f>'Data Entry'!E6</f>
        <v>70</v>
      </c>
      <c r="G3" s="57">
        <f>'Data Entry'!F6</f>
        <v>13</v>
      </c>
      <c r="H3" s="57">
        <f>'Data Entry'!G6</f>
        <v>0</v>
      </c>
      <c r="I3" s="57">
        <f>'Data Entry'!H6</f>
        <v>32</v>
      </c>
      <c r="J3" s="57">
        <f>'Data Entry'!I6</f>
        <v>0</v>
      </c>
      <c r="K3" s="57">
        <f>'Data Entry'!J6</f>
        <v>135</v>
      </c>
    </row>
    <row r="4" spans="2:11" ht="15" customHeight="1">
      <c r="B4" s="16" t="s">
        <v>8</v>
      </c>
      <c r="C4" s="1">
        <f>IF((C$3&gt;0),(1000*('Data Entry'!B7/'Data Entry'!B$6)), 0)</f>
        <v>2.9644268774703555</v>
      </c>
      <c r="D4" s="1">
        <f>IF((D$3&gt;0),(1000*('Data Entry'!C7/'Data Entry'!C$6)), 0)</f>
        <v>2.6469031233456857</v>
      </c>
      <c r="E4" s="1">
        <f>IF((E$3&gt;0),(1000*('Data Entry'!D7/'Data Entry'!D$6)), 0)</f>
        <v>50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7.4074074074074074</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Antrim</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18.89</v>
      </c>
      <c r="E19" s="72" t="str">
        <f t="shared" si="1"/>
        <v>--</v>
      </c>
      <c r="F19" s="72" t="str">
        <f t="shared" si="1"/>
        <v>--</v>
      </c>
      <c r="G19" s="72" t="str">
        <f t="shared" si="1"/>
        <v>--</v>
      </c>
      <c r="H19" s="72" t="str">
        <f t="shared" si="1"/>
        <v>--</v>
      </c>
      <c r="I19" s="72" t="str">
        <f t="shared" si="1"/>
        <v>--</v>
      </c>
      <c r="J19" s="73">
        <f t="shared" si="1"/>
        <v>2.7985185185185184</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No</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Antrim</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1889</v>
      </c>
      <c r="D7" s="104">
        <f>'Data Entry'!D6</f>
        <v>20</v>
      </c>
      <c r="E7" s="105"/>
      <c r="F7" s="106">
        <f>'Data Entry'!E6</f>
        <v>70</v>
      </c>
      <c r="G7" s="105"/>
      <c r="H7" s="106">
        <f>'Data Entry'!F6</f>
        <v>13</v>
      </c>
      <c r="I7" s="105"/>
      <c r="J7" s="106">
        <f>'Data Entry'!G6</f>
        <v>0</v>
      </c>
      <c r="K7" s="105"/>
      <c r="L7" s="106">
        <f>'Data Entry'!H6</f>
        <v>32</v>
      </c>
      <c r="M7" s="105"/>
      <c r="N7" s="106">
        <f>'Data Entry'!I6</f>
        <v>0</v>
      </c>
      <c r="O7" s="105"/>
      <c r="P7" s="106">
        <f>'Data Entry'!J6</f>
        <v>135</v>
      </c>
      <c r="Q7" s="107"/>
    </row>
    <row r="8" spans="2:26" s="1" customFormat="1" ht="15" customHeight="1">
      <c r="B8" s="142" t="s">
        <v>8</v>
      </c>
      <c r="C8" s="103">
        <f>'Data Entry'!C7</f>
        <v>5</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119</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No</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Antrim</v>
      </c>
    </row>
    <row r="6" spans="1:12">
      <c r="A6" s="135" t="str">
        <f>CONCATENATE("Percentage of Minorities at Stages of the Juvenile Justice System, ", A5, " 2022")</f>
        <v>Percentage of Minorities at Stages of the Juvenile Justice System, County: Antrim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13.992592592592592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13.992592592592592</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13.992592592592592</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13.992592592592592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13.992592592592592</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13.992592592592592</v>
      </c>
    </row>
    <row r="13" spans="1:12">
      <c r="A13" s="128" t="str">
        <f>CONCATENATE("Arrests, total N=", 'Data Entry'!B7)</f>
        <v>Arrests, total N=6</v>
      </c>
      <c r="B13" s="150">
        <f>'Data Entry'!D7/'Data Entry'!B7</f>
        <v>0.16666666666666666</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0.83333333333333337</v>
      </c>
      <c r="K13" s="96" t="str">
        <f t="shared" si="0"/>
        <v>Arrests, total N=6</v>
      </c>
      <c r="L13">
        <f>I14/(SUM(B14:G14))</f>
        <v>13.992592592592592</v>
      </c>
    </row>
    <row r="14" spans="1:12">
      <c r="A14" s="128" t="str">
        <f>CONCATENATE("Population, total N=", 'Data Entry'!B6)</f>
        <v>Population, total N=2024</v>
      </c>
      <c r="B14" s="150">
        <f>'Data Entry'!D6/'Data Entry'!B6</f>
        <v>9.881422924901186E-3</v>
      </c>
      <c r="C14" s="150">
        <f>'Data Entry'!E6/'Data Entry'!B6</f>
        <v>3.4584980237154152E-2</v>
      </c>
      <c r="D14" s="150">
        <f>'Data Entry'!F6/'Data Entry'!B6</f>
        <v>6.422924901185771E-3</v>
      </c>
      <c r="E14" s="150">
        <f>'Data Entry'!G6/'Data Entry'!B6</f>
        <v>0</v>
      </c>
      <c r="F14" s="150">
        <f>'Data Entry'!H6/'Data Entry'!B6</f>
        <v>1.5810276679841896E-2</v>
      </c>
      <c r="G14" s="150">
        <f>'Data Entry'!I6/'Data Entry'!B6</f>
        <v>0</v>
      </c>
      <c r="H14" s="150">
        <f>SUM(D14:G14)/'Data Entry'!B6</f>
        <v>1.0984783389835805E-5</v>
      </c>
      <c r="I14" s="150">
        <f>'Data Entry'!C6/'Data Entry'!B6</f>
        <v>0.93330039525691699</v>
      </c>
      <c r="K14" s="96" t="str">
        <f t="shared" si="0"/>
        <v>Population, total N=2024</v>
      </c>
      <c r="L14">
        <f>I14/(SUM(B14:G14))</f>
        <v>13.992592592592592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Antrim</v>
      </c>
      <c r="C4" s="102"/>
      <c r="D4" s="102"/>
      <c r="E4" s="120"/>
      <c r="F4" s="120"/>
      <c r="G4" s="120"/>
      <c r="H4" s="177" t="str">
        <f>'Data Entry'!C4</f>
        <v>10/1/21 through 9/30/22</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1889</v>
      </c>
      <c r="D7" s="104">
        <f>'Data Entry'!D6</f>
        <v>20</v>
      </c>
      <c r="E7" s="105"/>
      <c r="F7" s="106">
        <f>'Data Entry'!E6</f>
        <v>70</v>
      </c>
      <c r="G7" s="105"/>
      <c r="H7" s="106">
        <f>'Data Entry'!F6</f>
        <v>13</v>
      </c>
      <c r="I7" s="105"/>
      <c r="J7" s="106">
        <f>'Data Entry'!J6</f>
        <v>135</v>
      </c>
      <c r="K7" s="107"/>
    </row>
    <row r="8" spans="2:30" s="1" customFormat="1" ht="15" customHeight="1">
      <c r="B8" s="121" t="s">
        <v>8</v>
      </c>
      <c r="C8" s="103">
        <f>'Data Entry'!C7</f>
        <v>5</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119</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No</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1889</v>
      </c>
      <c r="D6" s="34"/>
      <c r="E6" s="33">
        <f>'Data Entry'!D6</f>
        <v>20</v>
      </c>
      <c r="F6" s="34"/>
      <c r="G6" s="35"/>
      <c r="H6" s="36"/>
      <c r="I6" s="37"/>
      <c r="J6" s="38"/>
      <c r="K6" s="37"/>
      <c r="L6" s="1">
        <f>IF( ('Data Entry'!D6&gt;('Data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2.6469031233456857</v>
      </c>
      <c r="E7" s="33">
        <f>'Data Entry'!D7</f>
        <v>1</v>
      </c>
      <c r="F7" s="34">
        <f>IF((AND($E$7&gt;0,$D$66&gt;0)),($E$7/$D$66),0)</f>
        <v>50</v>
      </c>
      <c r="G7" s="39" t="str">
        <f>IF(L$6=100,"*",IF(M7=FALSE,"--",IF(K7=20,"**",($F7/$D7))))</f>
        <v>*</v>
      </c>
      <c r="H7" s="40"/>
      <c r="I7" s="41"/>
      <c r="J7" s="40">
        <f>IF((ABS($U7)&gt;Defaults!D$7),1,2)</f>
        <v>1</v>
      </c>
      <c r="K7" s="39">
        <f>IF((AND(N7&gt;Defaults!B$12,(N7+O7)&gt;Defaults!B$13, P7 &gt; Defaults!B$12, (P7+Q7) &gt; Defaults!B$13)),1,20)</f>
        <v>20</v>
      </c>
      <c r="L7" s="1">
        <f>(J7*K7+L$6)-1</f>
        <v>119</v>
      </c>
      <c r="M7" s="1" t="b">
        <f t="shared" ref="M7:M15" si="0">(ISNUMBER(J7))</f>
        <v>1</v>
      </c>
      <c r="N7" s="42">
        <f t="shared" ref="N7:N15" si="1">E7</f>
        <v>1</v>
      </c>
      <c r="O7" s="42">
        <f>E6-E7</f>
        <v>19</v>
      </c>
      <c r="P7" s="42">
        <f t="shared" ref="P7:P15" si="2">C7</f>
        <v>5</v>
      </c>
      <c r="Q7" s="42">
        <f>C6-C7</f>
        <v>1884</v>
      </c>
      <c r="R7" s="42">
        <f t="shared" ref="R7:R15" si="3">SUM(N7:Q7)</f>
        <v>1909</v>
      </c>
      <c r="S7" s="30">
        <f t="shared" ref="S7:S15" si="4">R7*((((N7*Q7)-(O7*P7))^2))</f>
        <v>6109794589</v>
      </c>
      <c r="T7" s="30">
        <f t="shared" ref="T7:T15" si="5">(N7+O7)*(P7+Q7)*(N7+P7)*(O7+Q7)</f>
        <v>431372040</v>
      </c>
      <c r="U7" s="31">
        <f t="shared" ref="U7:U15" si="6">IF((S7&gt;0),S7/T7,"- -")</f>
        <v>14.163631442130557</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1.05</v>
      </c>
      <c r="P8" s="42">
        <f t="shared" si="2"/>
        <v>0</v>
      </c>
      <c r="Q8" s="42">
        <f>(C$67*L67)-C8</f>
        <v>5</v>
      </c>
      <c r="R8" s="42">
        <f t="shared" si="3"/>
        <v>6.05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v>
      </c>
      <c r="P9" s="42">
        <f t="shared" si="2"/>
        <v>0</v>
      </c>
      <c r="Q9" s="42">
        <f>(C$68*L68)-C9</f>
        <v>5</v>
      </c>
      <c r="R9" s="42">
        <f t="shared" si="3"/>
        <v>6</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v>
      </c>
      <c r="P10" s="42">
        <f t="shared" si="2"/>
        <v>0</v>
      </c>
      <c r="Q10" s="42">
        <f>(C$68*L68)-C10</f>
        <v>5</v>
      </c>
      <c r="R10" s="42">
        <f t="shared" si="3"/>
        <v>6</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v>
      </c>
      <c r="P11" s="42">
        <f t="shared" si="2"/>
        <v>0</v>
      </c>
      <c r="Q11" s="42">
        <f>(C$68*L68)-C11</f>
        <v>5</v>
      </c>
      <c r="R11" s="42">
        <f t="shared" si="3"/>
        <v>6</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v>
      </c>
      <c r="P12" s="42">
        <f t="shared" si="2"/>
        <v>0</v>
      </c>
      <c r="Q12" s="42">
        <f>(C69*L69)-C12</f>
        <v>5</v>
      </c>
      <c r="R12" s="42">
        <f t="shared" si="3"/>
        <v>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v>
      </c>
      <c r="P13" s="42">
        <f t="shared" si="2"/>
        <v>0</v>
      </c>
      <c r="Q13" s="42">
        <f>(C70*L70)-C13</f>
        <v>5</v>
      </c>
      <c r="R13" s="42">
        <f t="shared" si="3"/>
        <v>6</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5</v>
      </c>
      <c r="R14" s="42">
        <f t="shared" si="3"/>
        <v>6</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5</v>
      </c>
      <c r="R15" s="42">
        <f t="shared" si="3"/>
        <v>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1.889</v>
      </c>
      <c r="D42" s="56">
        <f>E6/1000</f>
        <v>0.02</v>
      </c>
      <c r="E42" s="56">
        <f>MAX(C42:D42)</f>
        <v>1.889</v>
      </c>
      <c r="G42" s="1" t="str">
        <f>B42</f>
        <v>per 1000 youth</v>
      </c>
      <c r="L42" s="57">
        <v>1000</v>
      </c>
      <c r="M42" s="57"/>
      <c r="R42" s="49"/>
    </row>
    <row r="43" spans="2:18" ht="15" hidden="1" customHeight="1">
      <c r="B43" s="49" t="s">
        <v>87</v>
      </c>
      <c r="C43" s="56">
        <f>C7/100</f>
        <v>0.05</v>
      </c>
      <c r="D43" s="56">
        <f>E7/100</f>
        <v>0.01</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1.889</v>
      </c>
      <c r="D48" s="56">
        <f>D42</f>
        <v>0.02</v>
      </c>
      <c r="E48" s="56">
        <f>MAX(C48:D48)</f>
        <v>1.889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0.05</v>
      </c>
      <c r="D49" s="49">
        <f t="shared" si="9"/>
        <v>0.01</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0.01</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1.889</v>
      </c>
      <c r="D54" s="56">
        <f>D48</f>
        <v>0.02</v>
      </c>
      <c r="E54" s="56">
        <f>MAX(C54:D54)</f>
        <v>1.889</v>
      </c>
      <c r="G54" s="1" t="str">
        <f>G48</f>
        <v>per 1000 youth</v>
      </c>
      <c r="L54" s="58">
        <f>L48</f>
        <v>1000</v>
      </c>
      <c r="M54" s="58"/>
    </row>
    <row r="55" spans="2:18" ht="15" hidden="1" customHeight="1">
      <c r="B55" s="49" t="str">
        <f t="shared" ref="B55:D56" si="10">IF(($E49&gt;0),B49,B48)</f>
        <v>per 100 arrests</v>
      </c>
      <c r="C55" s="49">
        <f t="shared" si="10"/>
        <v>0.05</v>
      </c>
      <c r="D55" s="49">
        <f t="shared" si="10"/>
        <v>0.01</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0.01</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0.01</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1.889</v>
      </c>
      <c r="D60" s="56">
        <f>D54</f>
        <v>0.02</v>
      </c>
      <c r="E60" s="56">
        <f>MAX(C60:D60)</f>
        <v>1.889</v>
      </c>
      <c r="G60" s="1" t="str">
        <f>G54</f>
        <v>per 1000 youth</v>
      </c>
      <c r="L60" s="58">
        <f>L54</f>
        <v>1000</v>
      </c>
      <c r="M60" s="58"/>
    </row>
    <row r="61" spans="2:18" ht="15" hidden="1" customHeight="1">
      <c r="B61" s="49" t="str">
        <f t="shared" ref="B61:D62" si="11">IF(($E55&gt;0),B55,B54)</f>
        <v>per 100 arrests</v>
      </c>
      <c r="C61" s="49">
        <f t="shared" si="11"/>
        <v>0.05</v>
      </c>
      <c r="D61" s="49">
        <f t="shared" si="11"/>
        <v>0.01</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0.01</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0.01</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0.01</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1.889</v>
      </c>
      <c r="D66" s="56">
        <f>D60</f>
        <v>0.02</v>
      </c>
      <c r="E66" s="56">
        <f>MAX(C66:D66)</f>
        <v>1.889</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0.01</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0.01</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0.01</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0.01</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1889</v>
      </c>
      <c r="D6" s="34"/>
      <c r="E6" s="33">
        <f>'Data Entry'!F6</f>
        <v>13</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2.6469031233456857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13</v>
      </c>
      <c r="P7" s="42">
        <f t="shared" ref="P7:P15" si="4">C7</f>
        <v>5</v>
      </c>
      <c r="Q7" s="42">
        <f>C6-C7</f>
        <v>1884</v>
      </c>
      <c r="R7" s="42">
        <f t="shared" ref="R7:R15" si="5">SUM(N7:Q7)</f>
        <v>1902</v>
      </c>
      <c r="S7" s="30">
        <f t="shared" ref="S7:S15" si="6">R7*((((N7*Q7)-(O7*P7))^2))</f>
        <v>8035950</v>
      </c>
      <c r="T7" s="30">
        <f t="shared" ref="T7:T15" si="7">(N7+O7)*(P7+Q7)*(N7+P7)*(O7+Q7)</f>
        <v>232923145</v>
      </c>
      <c r="U7" s="31">
        <f t="shared" ref="U7:U15" si="8">IF((S7&gt;0),S7/T7,"- -")</f>
        <v>3.450043575532178E-2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1.889</v>
      </c>
      <c r="D42" s="56">
        <f>E6/1000</f>
        <v>1.2999999999999999E-2</v>
      </c>
      <c r="E42" s="56">
        <f>MAX(C42:D42)</f>
        <v>1.889</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1.889</v>
      </c>
      <c r="D48" s="56">
        <f>D42</f>
        <v>1.2999999999999999E-2</v>
      </c>
      <c r="E48" s="56">
        <f>MAX(C48:D48)</f>
        <v>1.889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1.889</v>
      </c>
      <c r="D54" s="56">
        <f>D48</f>
        <v>1.2999999999999999E-2</v>
      </c>
      <c r="E54" s="56">
        <f>MAX(C54:D54)</f>
        <v>1.889</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1.889</v>
      </c>
      <c r="D60" s="56">
        <f>D54</f>
        <v>1.2999999999999999E-2</v>
      </c>
      <c r="E60" s="56">
        <f>MAX(C60:D60)</f>
        <v>1.889</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1.889</v>
      </c>
      <c r="D66" s="56">
        <f>D60</f>
        <v>1.2999999999999999E-2</v>
      </c>
      <c r="E66" s="56">
        <f>MAX(C66:D66)</f>
        <v>1.889</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1889</v>
      </c>
      <c r="D6" s="34"/>
      <c r="E6" s="33">
        <f>'Data Entry'!E6</f>
        <v>70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2.6469031233456857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70</v>
      </c>
      <c r="P7" s="42">
        <f t="shared" ref="P7:P15" si="4">C7</f>
        <v>5</v>
      </c>
      <c r="Q7" s="42">
        <f>C6-C7</f>
        <v>1884</v>
      </c>
      <c r="R7" s="42">
        <f t="shared" ref="R7:R15" si="5">SUM(N7:Q7)</f>
        <v>1959</v>
      </c>
      <c r="S7" s="30">
        <f t="shared" ref="S7:S15" si="6">R7*((((N7*Q7)-(O7*P7))^2))</f>
        <v>239977500</v>
      </c>
      <c r="T7" s="30">
        <f t="shared" ref="T7:T15" si="7">(N7+O7)*(P7+Q7)*(N7+P7)*(O7+Q7)</f>
        <v>1291887100</v>
      </c>
      <c r="U7" s="31">
        <f t="shared" ref="U7:U15" si="8">IF((S7&gt;0),S7/T7,"- -")</f>
        <v>0.18575733127144006</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1.889</v>
      </c>
      <c r="D42" s="56">
        <f>E6/1000</f>
        <v>7.0000000000000007E-2</v>
      </c>
      <c r="E42" s="56">
        <f>MAX(C42:D42)</f>
        <v>1.889</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1.889</v>
      </c>
      <c r="D48" s="56">
        <f>D42</f>
        <v>7.0000000000000007E-2</v>
      </c>
      <c r="E48" s="56">
        <f>MAX(C48:D48)</f>
        <v>1.889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1.889</v>
      </c>
      <c r="D54" s="56">
        <f>D48</f>
        <v>7.0000000000000007E-2</v>
      </c>
      <c r="E54" s="56">
        <f>MAX(C54:D54)</f>
        <v>1.889</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1.889</v>
      </c>
      <c r="D60" s="56">
        <f>D54</f>
        <v>7.0000000000000007E-2</v>
      </c>
      <c r="E60" s="56">
        <f>MAX(C60:D60)</f>
        <v>1.889</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1.889</v>
      </c>
      <c r="D66" s="56">
        <f>D60</f>
        <v>7.0000000000000007E-2</v>
      </c>
      <c r="E66" s="56">
        <f>MAX(C66:D66)</f>
        <v>1.889</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1889</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2.6469031233456857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1884</v>
      </c>
      <c r="R7" s="42">
        <f t="shared" ref="R7:R15" si="5">SUM(N7:Q7)</f>
        <v>1889</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1.889</v>
      </c>
      <c r="D42" s="56">
        <f>E6/1000</f>
        <v>0</v>
      </c>
      <c r="E42" s="56">
        <f>MAX(C42:D42)</f>
        <v>1.889</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1.889</v>
      </c>
      <c r="D48" s="56">
        <f>D42</f>
        <v>0</v>
      </c>
      <c r="E48" s="56">
        <f>MAX(C48:D48)</f>
        <v>1.889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1.889</v>
      </c>
      <c r="D54" s="56">
        <f>D48</f>
        <v>0</v>
      </c>
      <c r="E54" s="56">
        <f>MAX(C54:D54)</f>
        <v>1.889</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1.889</v>
      </c>
      <c r="D60" s="56">
        <f>D54</f>
        <v>0</v>
      </c>
      <c r="E60" s="56">
        <f>MAX(C60:D60)</f>
        <v>1.889</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1.889</v>
      </c>
      <c r="D66" s="56">
        <f>D60</f>
        <v>0</v>
      </c>
      <c r="E66" s="56">
        <f>MAX(C66:D66)</f>
        <v>1.889</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Antrim</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1889</v>
      </c>
      <c r="D6" s="34"/>
      <c r="E6" s="33">
        <f>'Data Entry'!H6</f>
        <v>32</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2.6469031233456857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32</v>
      </c>
      <c r="P7" s="42">
        <f t="shared" ref="P7:P15" si="4">C7</f>
        <v>5</v>
      </c>
      <c r="Q7" s="42">
        <f>C6-C7</f>
        <v>1884</v>
      </c>
      <c r="R7" s="42">
        <f t="shared" ref="R7:R15" si="5">SUM(N7:Q7)</f>
        <v>1921</v>
      </c>
      <c r="S7" s="30">
        <f t="shared" ref="S7:S15" si="6">R7*((((N7*Q7)-(O7*P7))^2))</f>
        <v>49177600</v>
      </c>
      <c r="T7" s="30">
        <f t="shared" ref="T7:T15" si="7">(N7+O7)*(P7+Q7)*(N7+P7)*(O7+Q7)</f>
        <v>579091840</v>
      </c>
      <c r="U7" s="31">
        <f t="shared" ref="U7:U15" si="8">IF((S7&gt;0),S7/T7,"- -")</f>
        <v>8.4921935698489548E-2</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5</v>
      </c>
      <c r="R8" s="42">
        <f t="shared" si="5"/>
        <v>5.05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v>
      </c>
      <c r="R9" s="42">
        <f t="shared" si="5"/>
        <v>5</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5</v>
      </c>
      <c r="R10" s="42">
        <f t="shared" si="5"/>
        <v>5</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5</v>
      </c>
      <c r="R11" s="42">
        <f t="shared" si="5"/>
        <v>5</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5</v>
      </c>
      <c r="R12" s="42">
        <f t="shared" si="5"/>
        <v>5</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5</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1.889</v>
      </c>
      <c r="D42" s="56">
        <f>E6/1000</f>
        <v>3.2000000000000001E-2</v>
      </c>
      <c r="E42" s="56">
        <f>MAX(C42:D42)</f>
        <v>1.889</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1.889</v>
      </c>
      <c r="D48" s="56">
        <f>D42</f>
        <v>3.2000000000000001E-2</v>
      </c>
      <c r="E48" s="56">
        <f>MAX(C48:D48)</f>
        <v>1.889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arrests</v>
      </c>
      <c r="C50" s="49">
        <f t="shared" si="9"/>
        <v>0.05</v>
      </c>
      <c r="D50" s="49">
        <f t="shared" si="9"/>
        <v>0</v>
      </c>
      <c r="E50" s="49">
        <f>MAX(C50:D50)</f>
        <v>0.05</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1.889</v>
      </c>
      <c r="D54" s="56">
        <f>D48</f>
        <v>3.2000000000000001E-2</v>
      </c>
      <c r="E54" s="56">
        <f>MAX(C54:D54)</f>
        <v>1.889</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arrests</v>
      </c>
      <c r="C56" s="49">
        <f t="shared" si="10"/>
        <v>0.05</v>
      </c>
      <c r="D56" s="49">
        <f t="shared" si="10"/>
        <v>0</v>
      </c>
      <c r="E56" s="49">
        <f>MAX(C56:D56)</f>
        <v>0.05</v>
      </c>
      <c r="G56" s="1" t="str">
        <f>G50</f>
        <v>per 100 referrals</v>
      </c>
      <c r="L56" s="58">
        <f>IF(($E50&gt;0),L50,L49)</f>
        <v>100</v>
      </c>
      <c r="M56" s="58"/>
    </row>
    <row r="57" spans="2:18" ht="15" hidden="1" customHeight="1">
      <c r="B57" s="49" t="str">
        <f>IF(($E51&gt;0),B51,B49)</f>
        <v>per 100 arrests</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1.889</v>
      </c>
      <c r="D60" s="56">
        <f>D54</f>
        <v>3.2000000000000001E-2</v>
      </c>
      <c r="E60" s="56">
        <f>MAX(C60:D60)</f>
        <v>1.889</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arrests</v>
      </c>
      <c r="C62" s="49">
        <f t="shared" si="11"/>
        <v>0.05</v>
      </c>
      <c r="D62" s="49">
        <f t="shared" si="11"/>
        <v>0</v>
      </c>
      <c r="E62" s="49">
        <f>MAX(C62:D62)</f>
        <v>0.05</v>
      </c>
      <c r="G62" s="1" t="str">
        <f>G56</f>
        <v>per 100 referrals</v>
      </c>
      <c r="L62" s="58">
        <f>IF(($E56&gt;0),L56,L55)</f>
        <v>100</v>
      </c>
      <c r="M62" s="58"/>
    </row>
    <row r="63" spans="2:18" ht="15" hidden="1" customHeight="1">
      <c r="B63" s="49" t="str">
        <f>IF(($E57&gt;0),B57,B55)</f>
        <v>per 100 arrests</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arrests</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1.889</v>
      </c>
      <c r="D66" s="56">
        <f>D60</f>
        <v>3.2000000000000001E-2</v>
      </c>
      <c r="E66" s="56">
        <f>MAX(C66:D66)</f>
        <v>1.889</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arrests</v>
      </c>
      <c r="C68" s="49">
        <f t="shared" si="12"/>
        <v>0.05</v>
      </c>
      <c r="D68" s="49">
        <f t="shared" si="12"/>
        <v>0</v>
      </c>
      <c r="E68" s="49">
        <f>MAX(C68:D68)</f>
        <v>0.05</v>
      </c>
      <c r="G68" s="1" t="str">
        <f>G62</f>
        <v>per 100 referrals</v>
      </c>
      <c r="L68" s="58">
        <f>IF(($E62&gt;0),L62,L61)</f>
        <v>100</v>
      </c>
      <c r="M68" s="58">
        <f>IF((B68=G68),1,2)</f>
        <v>2</v>
      </c>
    </row>
    <row r="69" spans="2:13" ht="15" hidden="1" customHeight="1">
      <c r="B69" s="49" t="str">
        <f>IF(($E63&gt;0),B63,B61)</f>
        <v>per 100 arrests</v>
      </c>
      <c r="C69" s="49">
        <f>IF(($E63&gt;0),C63,C62)</f>
        <v>0.05</v>
      </c>
      <c r="D69" s="49">
        <f>IF(($E63&gt;0),D63,D62)</f>
        <v>0</v>
      </c>
      <c r="E69" s="49">
        <f>MAX(C69:D69)</f>
        <v>0.05</v>
      </c>
      <c r="G69" s="1" t="str">
        <f>G63</f>
        <v>per 100 youth petitioned</v>
      </c>
      <c r="L69" s="58">
        <f>IF(($E63&gt;0),L63,L62)</f>
        <v>100</v>
      </c>
      <c r="M69" s="58">
        <f>IF((B69=G69),1,2)</f>
        <v>2</v>
      </c>
    </row>
    <row r="70" spans="2:13" ht="15" hidden="1" customHeight="1">
      <c r="B70" s="49" t="str">
        <f>IF(($E64&gt;0),B64,B63)</f>
        <v>per 100 arrests</v>
      </c>
      <c r="C70" s="49">
        <f>IF(($E64&gt;0),C64,C63)</f>
        <v>0.05</v>
      </c>
      <c r="D70" s="49">
        <f>IF(($E64&gt;0),D64,D63)</f>
        <v>0</v>
      </c>
      <c r="E70" s="56">
        <f>MAX(C70:D70)</f>
        <v>0.05</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U47JMPN4QEAR-1806752177-30433</_dlc_DocId>
    <_dlc_DocIdUrl xmlns="ac3811b5-0f3e-49e2-ba69-f2ffa0c782af">
      <Url>https://michiganphi.sharepoint.com/sites/CMDMC/_layouts/15/DocIdRedir.aspx?ID=U47JMPN4QEAR-1806752177-30433</Url>
      <Description>U47JMPN4QEAR-1806752177-30433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92FEA60-4F8F-471D-A54D-9B6B62AD0BCC}"/>
</file>

<file path=customXml/itemProps2.xml><?xml version="1.0" encoding="utf-8"?>
<ds:datastoreItem xmlns:ds="http://schemas.openxmlformats.org/officeDocument/2006/customXml" ds:itemID="{919825C6-1F2C-4A5E-B835-CB793A7C59F6}">
  <ds:schemaRefs>
    <ds:schemaRef ds:uri="http://schemas.microsoft.com/sharepoint/v3/contenttype/forms"/>
  </ds:schemaRefs>
</ds:datastoreItem>
</file>

<file path=customXml/itemProps3.xml><?xml version="1.0" encoding="utf-8"?>
<ds:datastoreItem xmlns:ds="http://schemas.openxmlformats.org/officeDocument/2006/customXml" ds:itemID="{D12FAF1B-7316-47A4-99F1-C2F699D9424E}">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BBAA2365-D1C9-4395-B275-616C61A683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12010e89-42dd-483a-829b-0e23ff75191a</vt:lpwstr>
  </property>
</Properties>
</file>