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312C6C4-921A-4B2A-BD04-89C8019A28B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14" i="1"/>
  <c r="B13" i="1"/>
  <c r="B12" i="1"/>
  <c r="B11" i="1"/>
  <c r="B10" i="1"/>
  <c r="B9" i="1"/>
  <c r="B8"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c r="G70"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3"/>
  <c r="M66" i="3"/>
  <c r="F27" i="5"/>
  <c r="M66" i="5"/>
  <c r="F27" i="2"/>
  <c r="M66" i="2"/>
  <c r="F27" i="4"/>
  <c r="M66" i="4"/>
  <c r="M66" i="8"/>
  <c r="F27"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4" i="6"/>
  <c r="E46" i="3"/>
  <c r="B52" i="3" s="1"/>
  <c r="E46" i="7"/>
  <c r="B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D52" i="3"/>
  <c r="L52" i="7"/>
  <c r="D52" i="7"/>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52" i="7" l="1"/>
  <c r="E49" i="5"/>
  <c r="B55" i="5" s="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C57" i="5"/>
  <c r="C66" i="6"/>
  <c r="E60" i="6"/>
  <c r="C66" i="2"/>
  <c r="E60" i="2"/>
  <c r="E56" i="6"/>
  <c r="E55" i="6"/>
  <c r="E55" i="7"/>
  <c r="E58" i="7"/>
  <c r="L64" i="3" l="1"/>
  <c r="B56" i="8"/>
  <c r="L56" i="8"/>
  <c r="D64" i="5"/>
  <c r="C64" i="5"/>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L70" i="5" l="1"/>
  <c r="L63" i="8"/>
  <c r="D63" i="8"/>
  <c r="D70" i="6"/>
  <c r="F13" i="6" s="1"/>
  <c r="E63" i="3"/>
  <c r="C69" i="3" s="1"/>
  <c r="D12" i="3" s="1"/>
  <c r="B70" i="3"/>
  <c r="M70" i="3" s="1"/>
  <c r="C63" i="8"/>
  <c r="C69" i="7"/>
  <c r="D12" i="7" s="1"/>
  <c r="L69" i="7"/>
  <c r="C70" i="6"/>
  <c r="E70"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14" i="6"/>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O14" i="6"/>
  <c r="E63" i="8"/>
  <c r="D69" i="8" s="1"/>
  <c r="O13" i="6"/>
  <c r="D69" i="3"/>
  <c r="E69" i="3" s="1"/>
  <c r="B69" i="3"/>
  <c r="M69" i="3" s="1"/>
  <c r="C70" i="8"/>
  <c r="Q13" i="8" s="1"/>
  <c r="F34" i="3"/>
  <c r="F33" i="3"/>
  <c r="B69" i="6"/>
  <c r="M69" i="6" s="1"/>
  <c r="D15" i="7"/>
  <c r="C69" i="6"/>
  <c r="D12" i="6" s="1"/>
  <c r="D13" i="3"/>
  <c r="Q12" i="7"/>
  <c r="D13" i="6"/>
  <c r="O13" i="3"/>
  <c r="F14" i="3"/>
  <c r="Q15" i="7"/>
  <c r="E69" i="7"/>
  <c r="Q14" i="3"/>
  <c r="F12" i="7"/>
  <c r="O12" i="7"/>
  <c r="D14" i="6"/>
  <c r="O15" i="7"/>
  <c r="Q13" i="3"/>
  <c r="Q13" i="6"/>
  <c r="Q14" i="6"/>
  <c r="T14" i="6" s="1"/>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L69" i="8" l="1"/>
  <c r="O15" i="8" s="1"/>
  <c r="K13" i="6"/>
  <c r="F12" i="3"/>
  <c r="F35" i="3"/>
  <c r="K14" i="6"/>
  <c r="R13" i="8"/>
  <c r="S13" i="8" s="1"/>
  <c r="U13" i="8" s="1"/>
  <c r="J13" i="8" s="1"/>
  <c r="M13" i="8" s="1"/>
  <c r="G13" i="8" s="1"/>
  <c r="K14" i="16" s="1"/>
  <c r="Q14" i="8"/>
  <c r="K14" i="8" s="1"/>
  <c r="T12" i="7"/>
  <c r="R13" i="6"/>
  <c r="S13" i="6" s="1"/>
  <c r="U13" i="6" s="1"/>
  <c r="J13" i="6" s="1"/>
  <c r="M13" i="6" s="1"/>
  <c r="G13" i="6" s="1"/>
  <c r="M14" i="13" s="1"/>
  <c r="F35" i="6"/>
  <c r="F32" i="6"/>
  <c r="R14" i="6"/>
  <c r="S14" i="6" s="1"/>
  <c r="U14" i="6" s="1"/>
  <c r="J14" i="6" s="1"/>
  <c r="M14" i="6" s="1"/>
  <c r="G14" i="6" s="1"/>
  <c r="M15" i="13" s="1"/>
  <c r="E69" i="6"/>
  <c r="D15" i="6"/>
  <c r="K15" i="7"/>
  <c r="O15" i="6"/>
  <c r="T13" i="6"/>
  <c r="R12" i="7"/>
  <c r="S12" i="7" s="1"/>
  <c r="U12" i="7" s="1"/>
  <c r="J12" i="7" s="1"/>
  <c r="K12" i="7"/>
  <c r="R15" i="7"/>
  <c r="S15" i="7" s="1"/>
  <c r="U15" i="7" s="1"/>
  <c r="J15" i="7" s="1"/>
  <c r="Q12" i="6"/>
  <c r="Q15" i="6"/>
  <c r="T13" i="8"/>
  <c r="O12" i="6"/>
  <c r="R14" i="3"/>
  <c r="S14" i="3" s="1"/>
  <c r="U14" i="3" s="1"/>
  <c r="J14" i="3" s="1"/>
  <c r="M14" i="3" s="1"/>
  <c r="G14" i="3" s="1"/>
  <c r="I15" i="16" s="1"/>
  <c r="K13" i="3"/>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4" i="8" l="1"/>
  <c r="I13" i="9"/>
  <c r="Q14" i="13"/>
  <c r="L13" i="8"/>
  <c r="T14" i="16" s="1"/>
  <c r="R14" i="8"/>
  <c r="S14" i="8" s="1"/>
  <c r="U14" i="8" s="1"/>
  <c r="J14" i="8" s="1"/>
  <c r="N30" i="8" s="1"/>
  <c r="G13" i="9"/>
  <c r="L13" i="6"/>
  <c r="R14" i="16" s="1"/>
  <c r="L13" i="3"/>
  <c r="P14" i="16" s="1"/>
  <c r="K15" i="6"/>
  <c r="L12" i="7"/>
  <c r="S13" i="16" s="1"/>
  <c r="R12" i="6"/>
  <c r="S12" i="6" s="1"/>
  <c r="L15" i="7"/>
  <c r="S16" i="16" s="1"/>
  <c r="E14" i="9"/>
  <c r="K12" i="6"/>
  <c r="N30" i="3"/>
  <c r="M15" i="7"/>
  <c r="T15" i="6"/>
  <c r="T12" i="6"/>
  <c r="M12" i="7"/>
  <c r="I15" i="13"/>
  <c r="M13" i="3"/>
  <c r="G13" i="3" s="1"/>
  <c r="I14" i="13" s="1"/>
  <c r="R15" i="6"/>
  <c r="S15" i="6" s="1"/>
  <c r="U15" i="6" s="1"/>
  <c r="J15" i="6" s="1"/>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P13" i="9"/>
  <c r="K9" i="7"/>
  <c r="T14" i="2"/>
  <c r="V12" i="13"/>
  <c r="U10" i="13"/>
  <c r="X14" i="13"/>
  <c r="N11" i="9"/>
  <c r="T15" i="5"/>
  <c r="W14" i="13"/>
  <c r="N13" i="9"/>
  <c r="L15" i="3"/>
  <c r="P16" i="16" s="1"/>
  <c r="L13" i="7"/>
  <c r="S14" i="16" s="1"/>
  <c r="M9" i="3"/>
  <c r="G9" i="3" s="1"/>
  <c r="I10" i="13" s="1"/>
  <c r="G12" i="13"/>
  <c r="G12" i="16"/>
  <c r="N9" i="9"/>
  <c r="P10" i="16"/>
  <c r="M14" i="7"/>
  <c r="N30" i="7"/>
  <c r="L14" i="7"/>
  <c r="S15" i="16" s="1"/>
  <c r="L8" i="7"/>
  <c r="S9" i="16" s="1"/>
  <c r="O13" i="9"/>
  <c r="V14" i="13"/>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Y16" i="13" l="1"/>
  <c r="Z14" i="13"/>
  <c r="Q15" i="9"/>
  <c r="R13" i="9"/>
  <c r="L15" i="6"/>
  <c r="R16" i="16" s="1"/>
  <c r="Q12" i="9"/>
  <c r="Y13" i="13"/>
  <c r="U10" i="7"/>
  <c r="J10" i="7" s="1"/>
  <c r="M10" i="7" s="1"/>
  <c r="U12" i="6"/>
  <c r="J12" i="6" s="1"/>
  <c r="L12" i="6" s="1"/>
  <c r="U14" i="2"/>
  <c r="J14" i="2" s="1"/>
  <c r="M14" i="2" s="1"/>
  <c r="G14" i="2" s="1"/>
  <c r="E15" i="16" s="1"/>
  <c r="U11" i="7"/>
  <c r="J11" i="7" s="1"/>
  <c r="M11" i="7" s="1"/>
  <c r="E13" i="9"/>
  <c r="I14" i="16"/>
  <c r="N14" i="9"/>
  <c r="M14" i="8"/>
  <c r="G14" i="8" s="1"/>
  <c r="K15" i="16" s="1"/>
  <c r="L14" i="8"/>
  <c r="T15" i="16" s="1"/>
  <c r="U12" i="8"/>
  <c r="J12" i="8" s="1"/>
  <c r="L12" i="8" s="1"/>
  <c r="T13" i="16" s="1"/>
  <c r="V15" i="13"/>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5" i="9" l="1"/>
  <c r="X16" i="13"/>
  <c r="L10" i="7"/>
  <c r="S11" i="16" s="1"/>
  <c r="L11" i="7"/>
  <c r="S12" i="16" s="1"/>
  <c r="M12" i="6"/>
  <c r="G12" i="6" s="1"/>
  <c r="M13" i="13" s="1"/>
  <c r="R13" i="16"/>
  <c r="P12" i="9"/>
  <c r="C14" i="9"/>
  <c r="N30" i="2"/>
  <c r="X13" i="13"/>
  <c r="L14" i="2"/>
  <c r="N15" i="16" s="1"/>
  <c r="E15" i="13"/>
  <c r="G15" i="9"/>
  <c r="Z15" i="13"/>
  <c r="Q15" i="13"/>
  <c r="M12" i="8"/>
  <c r="G12" i="8" s="1"/>
  <c r="K13" i="16" s="1"/>
  <c r="R14" i="9"/>
  <c r="I14"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D15" i="9"/>
  <c r="G16" i="13"/>
  <c r="R12" i="9"/>
  <c r="Z13" i="13"/>
  <c r="M10" i="8"/>
  <c r="G10" i="8" s="1"/>
  <c r="K11" i="16" s="1"/>
  <c r="L10" i="8"/>
  <c r="T11" i="16" s="1"/>
  <c r="L11" i="8"/>
  <c r="T12" i="16" s="1"/>
  <c r="M11" i="8"/>
  <c r="G11" i="8" s="1"/>
  <c r="K12" i="16" s="1"/>
  <c r="G12" i="9" l="1"/>
  <c r="Y12" i="13"/>
  <c r="L14" i="9"/>
  <c r="T15" i="13"/>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<sst xmlns="http://schemas.openxmlformats.org/spreadsheetml/2006/main" count="654" uniqueCount="141">
  <si>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</si>
  <si>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</si>
  <si>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</si>
  <si>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</si>
  <si>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</si>
  <si>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</si>
  <si>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</si>
  <si>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</si>
  <si>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</si>
  <si>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</si>
  <si>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</si>
  <si>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</si>
  <si>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</si>
  <si>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</si>
  <si>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</si>
  <si>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</si>
  <si>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</si>
  <si>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</si>
  <si>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</si>
  <si>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</si>
  <si>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</si>
  <si>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</si>
  <si>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</si>
  <si>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</si>
  <si>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</si>
  <si>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</si>
  <si>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</si>
  <si>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</si>
  <si>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</si>
  <si>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</si>
  <si>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</si>
  <si>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</si>
  <si>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</si>
  <si>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</si>
  <si>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</si>
  <si>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</si>
  <si>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</si>
  <si>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</si>
  <si>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</si>
  <si>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</si>
  <si>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</si>
  <si>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</si>
  <si>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</si>
  <si>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</si>
  <si>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</si>
  <si>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</si>
  <si>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</si>
  <si>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</si>
  <si>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</si>
  <si>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</si>
  <si>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</si>
  <si>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</si>
  <si>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</si>
  <si>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</si>
  <si>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</si>
  <si>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</si>
  <si>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</si>
  <si>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</si>
  <si>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</si>
  <si>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</si>
  <si>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</si>
  <si>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</si>
  <si>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</si>
  <si>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</si>
  <si>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</si>
  <si>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</si>
  <si>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</si>
  <si>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</si>
  <si>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</si>
  <si>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</si>
  <si>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</si>
  <si>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</si>
  <si>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</si>
  <si>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</si>
  <si>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</si>
  <si>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</si>
  <si>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</si>
  <si>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</si>
  <si>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</si>
  <si>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</si>
  <si>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</si>
  <si>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</si>
  <si>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</si>
  <si>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</si>
  <si>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</si>
  <si>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</si>
  <si>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</si>
  <si>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</si>
  <si>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</si>
  <si>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</si>
  <si>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</si>
  <si>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</si>
  <si>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</si>
  <si>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</si>
  <si>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</si>
  <si>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</si>
  <si>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</si>
  <si>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</si>
  <si>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</si>
  <si>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</si>
  <si>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</si>
  <si>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</si>
  <si>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</si>
  <si>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</si>
  <si>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</si>
  <si>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</si>
  <si>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</si>
  <si>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</si>
  <si>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</si>
  <si>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</si>
  <si>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</si>
  <si>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</si>
  <si>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</si>
  <si>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</si>
  <si>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</si>
  <si>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</si>
  <si>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</si>
  <si>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</si>
  <si>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</si>
  <si>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</si>
  <si>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</si>
  <si>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</si>
  <si>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</si>
  <si>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</si>
  <si>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</si>
  <si>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</si>
  <si>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</si>
  <si>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</si>
  <si>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</si>
  <si>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</si>
  <si>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</si>
  <si>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</si>
  <si>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</si>
  <si>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</si>
  <si>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</si>
  <si>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</si>
  <si>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</si>
  <si>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Antrim</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</si>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</sst>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Antrim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N=1760</c:v>
                </c:pt>
              </c:strCache>
            </c:strRef>
          </c:cat>
          <c:val>
            <c:numRef>
              <c:f>'Stacked 100%'!$B$7:$B$14</c:f>
              <c:numCache>
                <c:formatCode>0%</c:formatCode>
                <c:ptCount val="8"/>
                <c:pt idx="0">
                  <c:v>0</c:v>
                </c:pt>
                <c:pt idx="1">
                  <c:v>0</c:v>
                </c:pt>
                <c:pt idx="2">
                  <c:v>0</c:v>
                </c:pt>
                <c:pt idx="3">
                  <c:v>0</c:v>
                </c:pt>
                <c:pt idx="4">
                  <c:v>0</c:v>
                </c:pt>
                <c:pt idx="5">
                  <c:v>0</c:v>
                </c:pt>
                <c:pt idx="6">
                  <c:v>0</c:v>
                </c:pt>
                <c:pt idx="7">
                  <c:v>1.0227272727272727E-2</c:v>
                </c:pt>
              </c:numCache>
            </c:numRef>
          </c:val>
          <c:extLst>
            <c:ext xmlns:c16="http://schemas.microsoft.com/office/drawing/2014/chart" uri="{C3380CC4-5D6E-409C-BE32-E72D297353CC}">
              <c16:uniqueId val="{00000000-312E-4CBE-BC24-2C1028BBA22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N=1760</c:v>
                </c:pt>
              </c:strCache>
            </c:strRef>
          </c:cat>
          <c:val>
            <c:numRef>
              <c:f>'Stacked 100%'!$C$7:$C$14</c:f>
              <c:numCache>
                <c:formatCode>0%</c:formatCode>
                <c:ptCount val="8"/>
                <c:pt idx="0">
                  <c:v>0</c:v>
                </c:pt>
                <c:pt idx="1">
                  <c:v>0</c:v>
                </c:pt>
                <c:pt idx="2">
                  <c:v>0</c:v>
                </c:pt>
                <c:pt idx="3">
                  <c:v>0</c:v>
                </c:pt>
                <c:pt idx="4">
                  <c:v>0</c:v>
                </c:pt>
                <c:pt idx="5">
                  <c:v>0</c:v>
                </c:pt>
                <c:pt idx="6">
                  <c:v>0</c:v>
                </c:pt>
                <c:pt idx="7">
                  <c:v>3.8636363636363635E-2</c:v>
                </c:pt>
              </c:numCache>
            </c:numRef>
          </c:val>
          <c:extLst>
            <c:ext xmlns:c16="http://schemas.microsoft.com/office/drawing/2014/chart" uri="{C3380CC4-5D6E-409C-BE32-E72D297353CC}">
              <c16:uniqueId val="{00000001-312E-4CBE-BC24-2C1028BBA22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N=1760</c:v>
                </c:pt>
              </c:strCache>
            </c:strRef>
          </c:cat>
          <c:val>
            <c:numRef>
              <c:f>'Stacked 100%'!$H$7:$H$14</c:f>
              <c:numCache>
                <c:formatCode>0%</c:formatCode>
                <c:ptCount val="8"/>
                <c:pt idx="0">
                  <c:v>0</c:v>
                </c:pt>
                <c:pt idx="1">
                  <c:v>0</c:v>
                </c:pt>
                <c:pt idx="2">
                  <c:v>0</c:v>
                </c:pt>
                <c:pt idx="3">
                  <c:v>0</c:v>
                </c:pt>
                <c:pt idx="4">
                  <c:v>0</c:v>
                </c:pt>
                <c:pt idx="5">
                  <c:v>0</c:v>
                </c:pt>
                <c:pt idx="6">
                  <c:v>0</c:v>
                </c:pt>
                <c:pt idx="7">
                  <c:v>1.0330578512396693E-5</c:v>
                </c:pt>
              </c:numCache>
            </c:numRef>
          </c:val>
          <c:extLst>
            <c:ext xmlns:c16="http://schemas.microsoft.com/office/drawing/2014/chart" uri="{C3380CC4-5D6E-409C-BE32-E72D297353CC}">
              <c16:uniqueId val="{00000002-312E-4CBE-BC24-2C1028BBA22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N=1760</c:v>
                </c:pt>
              </c:strCache>
            </c:strRef>
          </c:cat>
          <c:val>
            <c:numRef>
              <c:f>'Stacked 100%'!$I$7:$I$14</c:f>
              <c:numCache>
                <c:formatCode>0%</c:formatCode>
                <c:ptCount val="8"/>
                <c:pt idx="0">
                  <c:v>0</c:v>
                </c:pt>
                <c:pt idx="1">
                  <c:v>0</c:v>
                </c:pt>
                <c:pt idx="2">
                  <c:v>0</c:v>
                </c:pt>
                <c:pt idx="3">
                  <c:v>0</c:v>
                </c:pt>
                <c:pt idx="4">
                  <c:v>0</c:v>
                </c:pt>
                <c:pt idx="5">
                  <c:v>0</c:v>
                </c:pt>
                <c:pt idx="6">
                  <c:v>1</c:v>
                </c:pt>
                <c:pt idx="7">
                  <c:v>0.93295454545454548</c:v>
                </c:pt>
              </c:numCache>
            </c:numRef>
          </c:val>
          <c:extLst>
            <c:ext xmlns:c16="http://schemas.microsoft.com/office/drawing/2014/chart" uri="{C3380CC4-5D6E-409C-BE32-E72D297353CC}">
              <c16:uniqueId val="{00000003-312E-4CBE-BC24-2C1028BBA22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N=1760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12E-4CBE-BC24-2C1028BBA22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9" sqref="K19"/>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1760</v>
      </c>
      <c r="C6" s="11">
        <v>1642</v>
      </c>
      <c r="D6" s="11">
        <v>18</v>
      </c>
      <c r="E6" s="11">
        <v>68</v>
      </c>
      <c r="F6" s="11">
        <v>9</v>
      </c>
      <c r="G6" s="11"/>
      <c r="H6" s="11">
        <v>23</v>
      </c>
      <c r="I6" s="11"/>
      <c r="J6" s="91">
        <f>SUM(D6:I6)</f>
        <v>118</v>
      </c>
      <c r="K6" s="92"/>
    </row>
    <row r="7" spans="1:11" ht="15.75" customHeight="1" thickBot="1" x14ac:dyDescent="0.25">
      <c r="A7" s="10" t="s">
        <v>8</v>
      </c>
      <c r="B7" s="11">
        <f t="shared" ref="B7:B15" si="0">SUM(C7:I7)+K7</f>
        <v>2</v>
      </c>
      <c r="C7" s="11">
        <v>2</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Antrim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1640</v>
      </c>
      <c r="R7" s="42">
        <f t="shared" ref="R7:R15" si="5">SUM(N7:Q7)</f>
        <v>1642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0</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0</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0</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0</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0</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Antrim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Entry'!J6</f>
        <v>118</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118</v>
      </c>
      <c r="P7" s="42">
        <f t="shared" ref="P7:P15" si="4">C7</f>
        <v>2</v>
      </c>
      <c r="Q7" s="42">
        <f>C6-C7</f>
        <v>1640</v>
      </c>
      <c r="R7" s="42">
        <f t="shared" ref="R7:R15" si="5">SUM(N7:Q7)</f>
        <v>1760</v>
      </c>
      <c r="S7" s="30">
        <f t="shared" ref="S7:S15" si="6">R7*((((N7*Q7)-(O7*P7))^2))</f>
        <v>98024960</v>
      </c>
      <c r="T7" s="30">
        <f t="shared" ref="T7:T15" si="7">(N7+O7)*(P7+Q7)*(N7+P7)*(O7+Q7)</f>
        <v>681246096</v>
      </c>
      <c r="U7" s="31">
        <f t="shared" ref="U7:U15" si="8">IF((S7&gt;0),S7/T7,"- -")</f>
        <v>0.14389067412725401</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0.11799999999999999</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0.11799999999999999</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0.11799999999999999</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0.11799999999999999</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0.11799999999999999</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Antrim</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1760</v>
      </c>
      <c r="D3" s="57">
        <f>'Data Entry'!C6</f>
        <v>1642</v>
      </c>
      <c r="E3" s="57">
        <f>'Data Entry'!D6</f>
        <v>18</v>
      </c>
      <c r="F3" s="57">
        <f>'Data Entry'!E6</f>
        <v>68</v>
      </c>
      <c r="G3" s="57">
        <f>'Data Entry'!F6</f>
        <v>9</v>
      </c>
      <c r="H3" s="57">
        <f>'Data Entry'!G6</f>
        <v>0</v>
      </c>
      <c r="I3" s="57">
        <f>'Data Entry'!H6</f>
        <v>23</v>
      </c>
      <c r="J3" s="57">
        <f>'Data Entry'!I6</f>
        <v>0</v>
      </c>
      <c r="K3" s="57">
        <f>'Data Entry'!J6</f>
        <v>118</v>
      </c>
    </row>
    <row r="4" spans="2:11" ht="15" customHeight="1" x14ac:dyDescent="0.25">
      <c r="B4" s="16" t="s">
        <v>8</v>
      </c>
      <c r="C4" s="1">
        <f>IF((C$3&gt;0),(1000*('Data Entry'!B7/'Data Entry'!B$6)), 0)</f>
        <v>1.1363636363636362</v>
      </c>
      <c r="D4" s="1">
        <f>IF((D$3&gt;0),(1000*('Data Entry'!C7/'Data Entry'!C$6)), 0)</f>
        <v>1.2180267965895248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Antrim</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Antrim</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1642</v>
      </c>
      <c r="D7" s="105">
        <f>'Data Entry'!D6</f>
        <v>18</v>
      </c>
      <c r="E7" s="106"/>
      <c r="F7" s="107">
        <f>'Data Entry'!E6</f>
        <v>68</v>
      </c>
      <c r="G7" s="106"/>
      <c r="H7" s="107">
        <f>'Data Entry'!F6</f>
        <v>9</v>
      </c>
      <c r="I7" s="106"/>
      <c r="J7" s="107">
        <f>'Data Entry'!G6</f>
        <v>0</v>
      </c>
      <c r="K7" s="106"/>
      <c r="L7" s="107">
        <f>'Data Entry'!H6</f>
        <v>23</v>
      </c>
      <c r="M7" s="106"/>
      <c r="N7" s="107">
        <f>'Data Entry'!I6</f>
        <v>0</v>
      </c>
      <c r="O7" s="106"/>
      <c r="P7" s="107">
        <f>'Data Entry'!J6</f>
        <v>118</v>
      </c>
      <c r="Q7" s="108"/>
    </row>
    <row r="8" spans="2:26" s="1" customFormat="1" ht="15" customHeight="1" x14ac:dyDescent="0.3">
      <c r="B8" s="149" t="s">
        <v>8</v>
      </c>
      <c r="C8" s="104">
        <f>'Data Entry'!C7</f>
        <v>2</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Antrim</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Antrim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13.915254237288138</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13.915254237288138</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13.915254237288138</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13.915254237288138</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13.915254237288138</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13.915254237288138</v>
      </c>
    </row>
    <row r="13" spans="1:12" x14ac:dyDescent="0.2">
      <c r="A13" s="132" t="str">
        <f>CONCATENATE("Arrests, total N=", 'Data Entry'!B7)</f>
        <v>Arrests, total N=2</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N=2</v>
      </c>
      <c r="L13">
        <f>I14/(SUM(B14:G14))</f>
        <v>13.915254237288138</v>
      </c>
    </row>
    <row r="14" spans="1:12" x14ac:dyDescent="0.2">
      <c r="A14" s="132" t="str">
        <f>CONCATENATE("Population, total N=", 'Data Entry'!B6)</f>
        <v>Population, total N=1760</v>
      </c>
      <c r="B14" s="157">
        <f>'Data Entry'!D6/'Data Entry'!B6</f>
        <v>1.0227272727272727E-2</v>
      </c>
      <c r="C14" s="157">
        <f>'Data Entry'!E6/'Data Entry'!B6</f>
        <v>3.8636363636363635E-2</v>
      </c>
      <c r="D14" s="157">
        <f>'Data Entry'!F6/'Data Entry'!B6</f>
        <v>5.1136363636363636E-3</v>
      </c>
      <c r="E14" s="157">
        <f>'Data Entry'!G6/'Data Entry'!B6</f>
        <v>0</v>
      </c>
      <c r="F14" s="157">
        <f>'Data Entry'!H6/'Data Entry'!B6</f>
        <v>1.3068181818181817E-2</v>
      </c>
      <c r="G14" s="157">
        <f>'Data Entry'!I6/'Data Entry'!B6</f>
        <v>0</v>
      </c>
      <c r="H14" s="157">
        <f>SUM(D14:G14)/'Data Entry'!B6</f>
        <v>1.0330578512396693E-5</v>
      </c>
      <c r="I14" s="157">
        <f>'Data Entry'!C6/'Data Entry'!B6</f>
        <v>0.93295454545454548</v>
      </c>
      <c r="K14" s="97" t="str">
        <f t="shared" si="0"/>
        <v>Population, total N=1760</v>
      </c>
      <c r="L14">
        <f>I14/(SUM(B14:G14))</f>
        <v>13.915254237288138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Antrim</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1642</v>
      </c>
      <c r="D7" s="105">
        <f>'Data Entry'!D6</f>
        <v>18</v>
      </c>
      <c r="E7" s="106"/>
      <c r="F7" s="107">
        <f>'Data Entry'!E6</f>
        <v>68</v>
      </c>
      <c r="G7" s="106"/>
      <c r="H7" s="107">
        <f>'Data Entry'!F6</f>
        <v>9</v>
      </c>
      <c r="I7" s="106"/>
      <c r="J7" s="107">
        <f>'Data Entry'!J6</f>
        <v>118</v>
      </c>
      <c r="K7" s="108"/>
    </row>
    <row r="8" spans="2:30" s="1" customFormat="1" ht="15" customHeight="1" x14ac:dyDescent="0.3">
      <c r="B8" s="125" t="s">
        <v>8</v>
      </c>
      <c r="C8" s="104">
        <f>'Data Entry'!C7</f>
        <v>2</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Antrim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Entry'!D6</f>
        <v>18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18</v>
      </c>
      <c r="P7" s="42">
        <f t="shared" ref="P7:P15" si="2">C7</f>
        <v>2</v>
      </c>
      <c r="Q7" s="42">
        <f>C6-C7</f>
        <v>1640</v>
      </c>
      <c r="R7" s="42">
        <f t="shared" ref="R7:R15" si="3">SUM(N7:Q7)</f>
        <v>1660</v>
      </c>
      <c r="S7" s="30">
        <f t="shared" ref="S7:S15" si="4">R7*((((N7*Q7)-(O7*P7))^2))</f>
        <v>2151360</v>
      </c>
      <c r="T7" s="30">
        <f t="shared" ref="T7:T15" si="5">(N7+O7)*(P7+Q7)*(N7+P7)*(O7+Q7)</f>
        <v>98007696</v>
      </c>
      <c r="U7" s="31">
        <f t="shared" ref="U7:U15" si="6">IF((S7&gt;0),S7/T7,"- -")</f>
        <v>2.1950929241311826E-2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2</v>
      </c>
      <c r="R8" s="42">
        <f t="shared" si="3"/>
        <v>2.0499999999999998</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2</v>
      </c>
      <c r="R11" s="42">
        <f t="shared" si="3"/>
        <v>2</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2</v>
      </c>
      <c r="R12" s="42">
        <f t="shared" si="3"/>
        <v>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1.7999999999999999E-2</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1.7999999999999999E-2</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1.7999999999999999E-2</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1.7999999999999999E-2</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1.7999999999999999E-2</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Antrim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Entry'!F6</f>
        <v>9</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v>
      </c>
      <c r="P7" s="42">
        <f t="shared" ref="P7:P15" si="4">C7</f>
        <v>2</v>
      </c>
      <c r="Q7" s="42">
        <f>C6-C7</f>
        <v>1640</v>
      </c>
      <c r="R7" s="42">
        <f t="shared" ref="R7:R15" si="5">SUM(N7:Q7)</f>
        <v>1651</v>
      </c>
      <c r="S7" s="30">
        <f t="shared" ref="S7:S15" si="6">R7*((((N7*Q7)-(O7*P7))^2))</f>
        <v>534924</v>
      </c>
      <c r="T7" s="30">
        <f t="shared" ref="T7:T15" si="7">(N7+O7)*(P7+Q7)*(N7+P7)*(O7+Q7)</f>
        <v>48737844</v>
      </c>
      <c r="U7" s="31">
        <f t="shared" ref="U7:U15" si="8">IF((S7&gt;0),S7/T7,"- -")</f>
        <v>1.0975536792312767E-2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8.9999999999999993E-3</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8.9999999999999993E-3</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8.9999999999999993E-3</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8.9999999999999993E-3</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8.9999999999999993E-3</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Antrim</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Entry'!E6</f>
        <v>68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68</v>
      </c>
      <c r="P7" s="42">
        <f t="shared" ref="P7:P15" si="4">C7</f>
        <v>2</v>
      </c>
      <c r="Q7" s="42">
        <f>C6-C7</f>
        <v>1640</v>
      </c>
      <c r="R7" s="42">
        <f t="shared" ref="R7:R15" si="5">SUM(N7:Q7)</f>
        <v>1710</v>
      </c>
      <c r="S7" s="30">
        <f t="shared" ref="S7:S15" si="6">R7*((((N7*Q7)-(O7*P7))^2))</f>
        <v>31628160</v>
      </c>
      <c r="T7" s="30">
        <f t="shared" ref="T7:T15" si="7">(N7+O7)*(P7+Q7)*(N7+P7)*(O7+Q7)</f>
        <v>381416896</v>
      </c>
      <c r="U7" s="31">
        <f t="shared" ref="U7:U15" si="8">IF((S7&gt;0),S7/T7,"- -")</f>
        <v>8.2922807908331356E-2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6.8000000000000005E-2</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6.8000000000000005E-2</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6.8000000000000005E-2</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6.8000000000000005E-2</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6.8000000000000005E-2</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Antrim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1640</v>
      </c>
      <c r="R7" s="42">
        <f t="shared" ref="R7:R15" si="5">SUM(N7:Q7)</f>
        <v>1642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0</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0</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0</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0</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0</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Antrim</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1642</v>
      </c>
      <c r="D6" s="34"/>
      <c r="E6" s="33">
        <f>'Data Entry'!H6</f>
        <v>23</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1.2180267965895251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23</v>
      </c>
      <c r="P7" s="42">
        <f t="shared" ref="P7:P15" si="4">C7</f>
        <v>2</v>
      </c>
      <c r="Q7" s="42">
        <f>C6-C7</f>
        <v>1640</v>
      </c>
      <c r="R7" s="42">
        <f t="shared" ref="R7:R15" si="5">SUM(N7:Q7)</f>
        <v>1665</v>
      </c>
      <c r="S7" s="30">
        <f t="shared" ref="S7:S15" si="6">R7*((((N7*Q7)-(O7*P7))^2))</f>
        <v>3523140</v>
      </c>
      <c r="T7" s="30">
        <f t="shared" ref="T7:T15" si="7">(N7+O7)*(P7+Q7)*(N7+P7)*(O7+Q7)</f>
        <v>125609716</v>
      </c>
      <c r="U7" s="31">
        <f t="shared" ref="U7:U15" si="8">IF((S7&gt;0),S7/T7,"- -")</f>
        <v>2.8048307982799673E-2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1.6419999999999999</v>
      </c>
      <c r="D42" s="56">
        <f>E6/1000</f>
        <v>2.3E-2</v>
      </c>
      <c r="E42" s="56">
        <f>MAX(C42:D42)</f>
        <v>1.6419999999999999</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1.6419999999999999</v>
      </c>
      <c r="D48" s="56">
        <f>D42</f>
        <v>2.3E-2</v>
      </c>
      <c r="E48" s="56">
        <f>MAX(C48:D48)</f>
        <v>1.6419999999999999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1.6419999999999999</v>
      </c>
      <c r="D54" s="56">
        <f>D48</f>
        <v>2.3E-2</v>
      </c>
      <c r="E54" s="56">
        <f>MAX(C54:D54)</f>
        <v>1.6419999999999999</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1.6419999999999999</v>
      </c>
      <c r="D60" s="56">
        <f>D54</f>
        <v>2.3E-2</v>
      </c>
      <c r="E60" s="56">
        <f>MAX(C60:D60)</f>
        <v>1.6419999999999999</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1.6419999999999999</v>
      </c>
      <c r="D66" s="56">
        <f>D60</f>
        <v>2.3E-2</v>
      </c>
      <c r="E66" s="56">
        <f>MAX(C66:D66)</f>
        <v>1.6419999999999999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U47JMPN4QEAR-1806752177-30150</_dlc_DocId>
    <_dlc_DocIdUrl xmlns="ac3811b5-0f3e-49e2-ba69-f2ffa0c782af">
      <Url>https://michiganphi.sharepoint.com/sites/CMDMC/_layouts/15/DocIdRedir.aspx?ID=U47JMPN4QEAR-1806752177-30150</Url>
      <Description>U47JMPN4QEAR-1806752177-30150</Description>
    </_dlc_DocIdUrl>
  </documentManagement>
</p:properties>
</file>

<file path=customXml/itemProps1.xml><?xml version="1.0" encoding="utf-8"?>
<ds:datastoreItem xmlns:ds="http://schemas.openxmlformats.org/officeDocument/2006/customXml" ds:itemID="{684D1F95-E49D-45D7-A376-219C6A31D5E9}"/>
</file>

<file path=customXml/itemProps2.xml><?xml version="1.0" encoding="utf-8"?>
<ds:datastoreItem xmlns:ds="http://schemas.openxmlformats.org/officeDocument/2006/customXml" ds:itemID="{AA94FEE8-25AC-4ACD-BC48-7DEA91A08D6C}"/>
</file>

<file path=customXml/itemProps3.xml><?xml version="1.0" encoding="utf-8"?>
<ds:datastoreItem xmlns:ds="http://schemas.openxmlformats.org/officeDocument/2006/customXml" ds:itemID="{83C2A466-A82A-4C1A-98BD-A2990C3F5EE6}"/>
</file>

<file path=customXml/itemProps4.xml><?xml version="1.0" encoding="utf-8"?>
<ds:datastoreItem xmlns:ds="http://schemas.openxmlformats.org/officeDocument/2006/customXml" ds:itemID="{DAD23729-EEF9-4FAC-B8A0-AA7D1E3532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2c4d6425-091c-44af-a041-203fc7ae35ec</vt:lpwstr>
  </property>
</Properties>
</file>