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3" documentId="8_{A84CA8DB-F0F6-46EB-A84D-4A92135C74A2}" xr6:coauthVersionLast="47" xr6:coauthVersionMax="47" xr10:uidLastSave="{6E5D9BE1-4906-47B6-9D71-7791621557E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6"/>
  <c r="M66" i="6"/>
  <c r="F27" i="2"/>
  <c r="M66" i="2"/>
  <c r="M66" i="7"/>
  <c r="F27" i="7"/>
  <c r="F27" i="5"/>
  <c r="M66" i="5"/>
  <c r="F27" i="3"/>
  <c r="M66" i="3"/>
  <c r="M66" i="4"/>
  <c r="F27"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3" i="6"/>
  <c r="E43" i="7"/>
  <c r="C49" i="7" s="1"/>
  <c r="E44" i="6"/>
  <c r="D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B52" i="7"/>
  <c r="B49" i="7"/>
  <c r="L50" i="6"/>
  <c r="B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B63" i="8" s="1"/>
  <c r="Q8" i="13"/>
  <c r="I7" i="9"/>
  <c r="B63" i="3"/>
  <c r="E64" i="6"/>
  <c r="B70" i="6" s="1"/>
  <c r="M70" i="6" s="1"/>
  <c r="Z8" i="13"/>
  <c r="R7" i="9"/>
  <c r="D63" i="3"/>
  <c r="E63" i="3" s="1"/>
  <c r="C69" i="3" s="1"/>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C63" i="8"/>
  <c r="C70" i="3"/>
  <c r="D14" i="3" s="1"/>
  <c r="L63" i="8"/>
  <c r="L70" i="8" s="1"/>
  <c r="C69" i="7"/>
  <c r="D12" i="7" s="1"/>
  <c r="D70" i="6"/>
  <c r="F13" i="6" s="1"/>
  <c r="B70" i="3"/>
  <c r="M70" i="3" s="1"/>
  <c r="L70" i="6"/>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E63" i="8" l="1"/>
  <c r="D69" i="8" s="1"/>
  <c r="F15" i="8" s="1"/>
  <c r="Q13" i="3"/>
  <c r="D13" i="3"/>
  <c r="Q13" i="8"/>
  <c r="Q12" i="7"/>
  <c r="B69" i="6"/>
  <c r="M69" i="6" s="1"/>
  <c r="E70" i="3"/>
  <c r="D14" i="6"/>
  <c r="F34" i="3"/>
  <c r="O13" i="6"/>
  <c r="F14" i="6"/>
  <c r="O14" i="6"/>
  <c r="E69" i="7"/>
  <c r="Q14" i="3"/>
  <c r="O15" i="7"/>
  <c r="F14" i="3"/>
  <c r="E70" i="6"/>
  <c r="Q13" i="6"/>
  <c r="Q14" i="6"/>
  <c r="F33" i="3"/>
  <c r="O13" i="3"/>
  <c r="Q15" i="7"/>
  <c r="O12" i="7"/>
  <c r="C69" i="6"/>
  <c r="D12" i="6" s="1"/>
  <c r="F12" i="7"/>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2" i="7" l="1"/>
  <c r="B69" i="8"/>
  <c r="M69" i="8" s="1"/>
  <c r="R13" i="3"/>
  <c r="S13" i="3" s="1"/>
  <c r="U13" i="3" s="1"/>
  <c r="J13" i="3" s="1"/>
  <c r="T14" i="3"/>
  <c r="K14" i="3"/>
  <c r="K13" i="3"/>
  <c r="Q15" i="6"/>
  <c r="Q12" i="6"/>
  <c r="F32" i="6"/>
  <c r="F35" i="6"/>
  <c r="T13" i="3"/>
  <c r="T13" i="6"/>
  <c r="K14" i="6"/>
  <c r="R15" i="7"/>
  <c r="S15" i="7" s="1"/>
  <c r="U15" i="7" s="1"/>
  <c r="J15" i="7" s="1"/>
  <c r="M15" i="7" s="1"/>
  <c r="R14" i="8"/>
  <c r="S14" i="8" s="1"/>
  <c r="T12" i="7"/>
  <c r="R14" i="6"/>
  <c r="S14" i="6" s="1"/>
  <c r="U14" i="6" s="1"/>
  <c r="J14" i="6" s="1"/>
  <c r="M14" i="6" s="1"/>
  <c r="G14" i="6" s="1"/>
  <c r="M15" i="13" s="1"/>
  <c r="O15" i="6"/>
  <c r="T14" i="6"/>
  <c r="K15" i="7"/>
  <c r="T15" i="7"/>
  <c r="O12" i="6"/>
  <c r="R12" i="7"/>
  <c r="S12" i="7" s="1"/>
  <c r="U12" i="7" s="1"/>
  <c r="J12" i="7" s="1"/>
  <c r="K13" i="6"/>
  <c r="R13" i="6"/>
  <c r="S13" i="6" s="1"/>
  <c r="U13" i="6" s="1"/>
  <c r="J13" i="6" s="1"/>
  <c r="M13" i="6" s="1"/>
  <c r="G13" i="6" s="1"/>
  <c r="G13" i="9" s="1"/>
  <c r="R14" i="3"/>
  <c r="S14" i="3" s="1"/>
  <c r="U14" i="3" s="1"/>
  <c r="J14" i="3" s="1"/>
  <c r="M14" i="3" s="1"/>
  <c r="G14" i="3" s="1"/>
  <c r="I15" i="16" s="1"/>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2" i="7" l="1"/>
  <c r="S13" i="16" s="1"/>
  <c r="L13" i="3"/>
  <c r="P14" i="16" s="1"/>
  <c r="M13" i="3"/>
  <c r="G13" i="3" s="1"/>
  <c r="E13" i="9" s="1"/>
  <c r="M12" i="7"/>
  <c r="K15" i="6"/>
  <c r="T15" i="6"/>
  <c r="K12" i="6"/>
  <c r="L15" i="7"/>
  <c r="S16" i="16" s="1"/>
  <c r="R12" i="6"/>
  <c r="S12" i="6" s="1"/>
  <c r="U12" i="6" s="1"/>
  <c r="J12" i="6" s="1"/>
  <c r="M12" i="6" s="1"/>
  <c r="G12" i="6" s="1"/>
  <c r="T12" i="6"/>
  <c r="U14" i="8"/>
  <c r="J14" i="8" s="1"/>
  <c r="N30" i="8" s="1"/>
  <c r="N30" i="3"/>
  <c r="R15" i="6"/>
  <c r="S15" i="6" s="1"/>
  <c r="U15" i="6" s="1"/>
  <c r="J15" i="6" s="1"/>
  <c r="L13" i="6"/>
  <c r="R14" i="16" s="1"/>
  <c r="I15" i="13"/>
  <c r="M14" i="13"/>
  <c r="E14" i="9"/>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N13" i="9"/>
  <c r="L15" i="3"/>
  <c r="P16" i="16" s="1"/>
  <c r="L13" i="7"/>
  <c r="S14" i="16" s="1"/>
  <c r="M9" i="3"/>
  <c r="G9" i="3" s="1"/>
  <c r="I10" i="13" s="1"/>
  <c r="G12" i="13"/>
  <c r="G12" i="16"/>
  <c r="N9" i="9"/>
  <c r="P10" i="16"/>
  <c r="M14" i="7"/>
  <c r="N30" i="7"/>
  <c r="L14" i="7"/>
  <c r="S15" i="16" s="1"/>
  <c r="L8" i="7"/>
  <c r="S9" i="16" s="1"/>
  <c r="O13" i="9"/>
  <c r="V14" i="13"/>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Y13" i="13" l="1"/>
  <c r="I14" i="16"/>
  <c r="I14" i="13"/>
  <c r="Y16" i="13"/>
  <c r="L12" i="6"/>
  <c r="R13" i="16" s="1"/>
  <c r="Q15" i="9"/>
  <c r="L15" i="6"/>
  <c r="R16" i="16" s="1"/>
  <c r="M15" i="6"/>
  <c r="G15" i="6" s="1"/>
  <c r="M16" i="13" s="1"/>
  <c r="U14" i="2"/>
  <c r="J14" i="2" s="1"/>
  <c r="M14" i="2" s="1"/>
  <c r="G14" i="2" s="1"/>
  <c r="E15" i="16" s="1"/>
  <c r="U12" i="8"/>
  <c r="J12" i="8" s="1"/>
  <c r="L12" i="8" s="1"/>
  <c r="T13" i="16" s="1"/>
  <c r="M14" i="8"/>
  <c r="G14" i="8" s="1"/>
  <c r="K15" i="16" s="1"/>
  <c r="P13" i="9"/>
  <c r="L14" i="8"/>
  <c r="T15" i="16" s="1"/>
  <c r="V15" i="13"/>
  <c r="N14" i="9"/>
  <c r="X14" i="13"/>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P12" i="9"/>
  <c r="G15" i="9"/>
  <c r="P15" i="9"/>
  <c r="X13" i="13"/>
  <c r="M12" i="8"/>
  <c r="G12" i="8" s="1"/>
  <c r="K13" i="16" s="1"/>
  <c r="N30" i="2"/>
  <c r="L14" i="2"/>
  <c r="N15" i="16" s="1"/>
  <c r="I14" i="9"/>
  <c r="E15" i="13"/>
  <c r="C14" i="9"/>
  <c r="Z15" i="13"/>
  <c r="R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<sst xmlns="http://schemas.openxmlformats.org/spreadsheetml/2006/main" count="654" uniqueCount="141">
  <si>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</si>
  <si>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</si>
  <si>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</si>
  <si>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</si>
  <si>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</si>
  <si>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</si>
  <si>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</si>
  <si>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</si>
  <si>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</si>
  <si>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</si>
  <si>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</si>
  <si>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</si>
  <si>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</si>
  <si>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</si>
  <si>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</si>
  <si>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</si>
  <si>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</si>
  <si>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</si>
  <si>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</si>
  <si>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</si>
  <si>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</si>
  <si>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</si>
  <si>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</si>
  <si>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</si>
  <si>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</si>
  <si>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</si>
  <si>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</si>
  <si>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</si>
  <si>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</si>
  <si>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</si>
  <si>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</si>
  <si>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</si>
  <si>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</si>
  <si>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</si>
  <si>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</si>
  <si>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</si>
  <si>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</si>
  <si>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</si>
  <si>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</si>
  <si>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</si>
  <si>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</si>
  <si>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</si>
  <si>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</si>
  <si>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</si>
  <si>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</si>
  <si>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</si>
  <si>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</si>
  <si>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</si>
  <si>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</si>
  <si>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</si>
  <si>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</si>
  <si>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</si>
  <si>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</si>
  <si>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</si>
  <si>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</si>
  <si>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</si>
  <si>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</si>
  <si>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</si>
  <si>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</si>
  <si>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</si>
  <si>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</si>
  <si>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</si>
  <si>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</si>
  <si>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</si>
  <si>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</si>
  <si>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</si>
  <si>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</si>
  <si>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</si>
  <si>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</si>
  <si>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</si>
  <si>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</si>
  <si>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</si>
  <si>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</si>
  <si>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</si>
  <si>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</si>
  <si>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</si>
  <si>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</si>
  <si>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</si>
  <si>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</si>
  <si>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</si>
  <si>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</si>
  <si>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</si>
  <si>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</si>
  <si>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</si>
  <si>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</si>
  <si>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</si>
  <si>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</si>
  <si>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</si>
  <si>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</si>
  <si>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</si>
  <si>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</si>
  <si>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</si>
  <si>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</si>
  <si>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</si>
  <si>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</si>
  <si>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</si>
  <si>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</si>
  <si>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</si>
  <si>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</si>
  <si>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</si>
  <si>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</si>
  <si>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</si>
  <si>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</si>
  <si>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</si>
  <si>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</si>
  <si>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</si>
  <si>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</si>
  <si>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</si>
  <si>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</si>
  <si>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</si>
  <si>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</si>
  <si>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</si>
  <si>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</si>
  <si>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</si>
  <si>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</si>
  <si>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</si>
  <si>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</si>
  <si>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</si>
  <si>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</si>
  <si>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</si>
  <si>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</si>
  <si>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</si>
  <si>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</si>
  <si>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</si>
  <si>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</si>
  <si>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</si>
  <si>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</si>
  <si>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</si>
  <si>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</si>
  <si>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</si>
  <si>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</si>
  <si>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</si>
  <si>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</si>
  <si>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</si>
  <si>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</si>
  <si>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</si>
  <si>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Alpena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</si>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</sst>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Alpena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N=40</c:v>
                </c:pt>
                <c:pt idx="3">
                  <c:v>Petitions, total N=67</c:v>
                </c:pt>
                <c:pt idx="4">
                  <c:v>Detentions, total N=1</c:v>
                </c:pt>
                <c:pt idx="5">
                  <c:v>Referrals, total N=78</c:v>
                </c:pt>
                <c:pt idx="6">
                  <c:v>Arrests, total N=54</c:v>
                </c:pt>
                <c:pt idx="7">
                  <c:v>Population, total N=2503</c:v>
                </c:pt>
              </c:strCache>
            </c:strRef>
          </c:cat>
          <c:val>
            <c:numRef>
              <c:f>'Stacked 100%'!$B$7:$B$14</c:f>
              <c:numCache>
                <c:formatCode>0%</c:formatCode>
                <c:ptCount val="8"/>
                <c:pt idx="0">
                  <c:v>0</c:v>
                </c:pt>
                <c:pt idx="1">
                  <c:v>0</c:v>
                </c:pt>
                <c:pt idx="2">
                  <c:v>0</c:v>
                </c:pt>
                <c:pt idx="3">
                  <c:v>0</c:v>
                </c:pt>
                <c:pt idx="4">
                  <c:v>0</c:v>
                </c:pt>
                <c:pt idx="5">
                  <c:v>0</c:v>
                </c:pt>
                <c:pt idx="6">
                  <c:v>1.8518518518518517E-2</c:v>
                </c:pt>
                <c:pt idx="7">
                  <c:v>2.2373152217339192E-2</c:v>
                </c:pt>
              </c:numCache>
            </c:numRef>
          </c:val>
          <c:extLst>
            <c:ext xmlns:c16="http://schemas.microsoft.com/office/drawing/2014/chart" uri="{C3380CC4-5D6E-409C-BE32-E72D297353CC}">
              <c16:uniqueId val="{00000000-61F5-4BA0-983A-1B429DDA9D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N=40</c:v>
                </c:pt>
                <c:pt idx="3">
                  <c:v>Petitions, total N=67</c:v>
                </c:pt>
                <c:pt idx="4">
                  <c:v>Detentions, total N=1</c:v>
                </c:pt>
                <c:pt idx="5">
                  <c:v>Referrals, total N=78</c:v>
                </c:pt>
                <c:pt idx="6">
                  <c:v>Arrests, total N=54</c:v>
                </c:pt>
                <c:pt idx="7">
                  <c:v>Population, total N=2503</c:v>
                </c:pt>
              </c:strCache>
            </c:strRef>
          </c:cat>
          <c:val>
            <c:numRef>
              <c:f>'Stacked 100%'!$C$7:$C$14</c:f>
              <c:numCache>
                <c:formatCode>0%</c:formatCode>
                <c:ptCount val="8"/>
                <c:pt idx="0">
                  <c:v>0</c:v>
                </c:pt>
                <c:pt idx="1">
                  <c:v>0</c:v>
                </c:pt>
                <c:pt idx="2">
                  <c:v>0</c:v>
                </c:pt>
                <c:pt idx="3">
                  <c:v>0</c:v>
                </c:pt>
                <c:pt idx="4">
                  <c:v>0</c:v>
                </c:pt>
                <c:pt idx="5">
                  <c:v>0</c:v>
                </c:pt>
                <c:pt idx="6">
                  <c:v>0</c:v>
                </c:pt>
                <c:pt idx="7">
                  <c:v>1.9176987614862164E-2</c:v>
                </c:pt>
              </c:numCache>
            </c:numRef>
          </c:val>
          <c:extLst>
            <c:ext xmlns:c16="http://schemas.microsoft.com/office/drawing/2014/chart" uri="{C3380CC4-5D6E-409C-BE32-E72D297353CC}">
              <c16:uniqueId val="{00000001-61F5-4BA0-983A-1B429DDA9D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c:v>
                </c:pt>
                <c:pt idx="2">
                  <c:v>Delinquent Findings, total N=40</c:v>
                </c:pt>
                <c:pt idx="3">
                  <c:v>Petitions, total N=67</c:v>
                </c:pt>
                <c:pt idx="4">
                  <c:v>Detentions, total N=1</c:v>
                </c:pt>
                <c:pt idx="5">
                  <c:v>Referrals, total N=78</c:v>
                </c:pt>
                <c:pt idx="6">
                  <c:v>Arrests, total N=54</c:v>
                </c:pt>
                <c:pt idx="7">
                  <c:v>Population, total N=2503</c:v>
                </c:pt>
              </c:strCache>
            </c:strRef>
          </c:cat>
          <c:val>
            <c:numRef>
              <c:f>'Stacked 100%'!$H$7:$H$14</c:f>
              <c:numCache>
                <c:formatCode>0%</c:formatCode>
                <c:ptCount val="8"/>
                <c:pt idx="0">
                  <c:v>0</c:v>
                </c:pt>
                <c:pt idx="1">
                  <c:v>0</c:v>
                </c:pt>
                <c:pt idx="2">
                  <c:v>0</c:v>
                </c:pt>
                <c:pt idx="3">
                  <c:v>0</c:v>
                </c:pt>
                <c:pt idx="4">
                  <c:v>0</c:v>
                </c:pt>
                <c:pt idx="5">
                  <c:v>0</c:v>
                </c:pt>
                <c:pt idx="6">
                  <c:v>0</c:v>
                </c:pt>
                <c:pt idx="7">
                  <c:v>6.2250509137337237E-6</c:v>
                </c:pt>
              </c:numCache>
            </c:numRef>
          </c:val>
          <c:extLst>
            <c:ext xmlns:c16="http://schemas.microsoft.com/office/drawing/2014/chart" uri="{C3380CC4-5D6E-409C-BE32-E72D297353CC}">
              <c16:uniqueId val="{00000002-61F5-4BA0-983A-1B429DDA9D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c:v>
                </c:pt>
                <c:pt idx="2">
                  <c:v>Delinquent Findings, total N=40</c:v>
                </c:pt>
                <c:pt idx="3">
                  <c:v>Petitions, total N=67</c:v>
                </c:pt>
                <c:pt idx="4">
                  <c:v>Detentions, total N=1</c:v>
                </c:pt>
                <c:pt idx="5">
                  <c:v>Referrals, total N=78</c:v>
                </c:pt>
                <c:pt idx="6">
                  <c:v>Arrests, total N=54</c:v>
                </c:pt>
                <c:pt idx="7">
                  <c:v>Population, total N=2503</c:v>
                </c:pt>
              </c:strCache>
            </c:strRef>
          </c:cat>
          <c:val>
            <c:numRef>
              <c:f>'Stacked 100%'!$I$7:$I$14</c:f>
              <c:numCache>
                <c:formatCode>0%</c:formatCode>
                <c:ptCount val="8"/>
                <c:pt idx="0">
                  <c:v>0</c:v>
                </c:pt>
                <c:pt idx="1">
                  <c:v>1</c:v>
                </c:pt>
                <c:pt idx="2">
                  <c:v>0.875</c:v>
                </c:pt>
                <c:pt idx="3">
                  <c:v>0.82089552238805974</c:v>
                </c:pt>
                <c:pt idx="4">
                  <c:v>1</c:v>
                </c:pt>
                <c:pt idx="5">
                  <c:v>0.82051282051282048</c:v>
                </c:pt>
                <c:pt idx="6">
                  <c:v>0.92592592592592593</c:v>
                </c:pt>
                <c:pt idx="7">
                  <c:v>0.94286855773072309</c:v>
                </c:pt>
              </c:numCache>
            </c:numRef>
          </c:val>
          <c:extLst>
            <c:ext xmlns:c16="http://schemas.microsoft.com/office/drawing/2014/chart" uri="{C3380CC4-5D6E-409C-BE32-E72D297353CC}">
              <c16:uniqueId val="{00000003-61F5-4BA0-983A-1B429DDA9D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c:v>
                </c:pt>
                <c:pt idx="2">
                  <c:v>Delinquent Findings, total N=40</c:v>
                </c:pt>
                <c:pt idx="3">
                  <c:v>Petitions, total N=67</c:v>
                </c:pt>
                <c:pt idx="4">
                  <c:v>Detentions, total N=1</c:v>
                </c:pt>
                <c:pt idx="5">
                  <c:v>Referrals, total N=78</c:v>
                </c:pt>
                <c:pt idx="6">
                  <c:v>Arrests, total N=54</c:v>
                </c:pt>
                <c:pt idx="7">
                  <c:v>Population, total N=2503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1F5-4BA0-983A-1B429DDA9D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2503</v>
      </c>
      <c r="C6" s="11">
        <v>2360</v>
      </c>
      <c r="D6" s="11">
        <v>56</v>
      </c>
      <c r="E6" s="11">
        <v>48</v>
      </c>
      <c r="F6" s="11">
        <v>12</v>
      </c>
      <c r="G6" s="11"/>
      <c r="H6" s="11">
        <v>27</v>
      </c>
      <c r="I6" s="11"/>
      <c r="J6" s="91">
        <f>SUM(D6:I6)</f>
        <v>143</v>
      </c>
      <c r="K6" s="92"/>
    </row>
    <row r="7" spans="1:11" ht="15.75" customHeight="1" thickBot="1">
      <c r="A7" s="10" t="s">
        <v>8</v>
      </c>
      <c r="B7" s="11">
        <f t="shared" ref="B7:B15" si="0">SUM(C7:I7)+K7</f>
        <v>54</v>
      </c>
      <c r="C7" s="11">
        <v>50</v>
      </c>
      <c r="D7" s="11">
        <v>1</v>
      </c>
      <c r="E7" s="11">
        <v>0</v>
      </c>
      <c r="F7" s="11">
        <v>0</v>
      </c>
      <c r="G7" s="11">
        <v>0</v>
      </c>
      <c r="H7" s="11">
        <v>0</v>
      </c>
      <c r="I7" s="11"/>
      <c r="J7" s="91">
        <f t="shared" ref="J7:J15" si="1">SUM(D7:I7)</f>
        <v>1</v>
      </c>
      <c r="K7" s="92">
        <v>3</v>
      </c>
    </row>
    <row r="8" spans="1:11" ht="15.75" customHeight="1" thickBot="1">
      <c r="A8" s="10" t="s">
        <v>9</v>
      </c>
      <c r="B8" s="11">
        <f t="shared" si="0"/>
        <v>78</v>
      </c>
      <c r="C8" s="11">
        <v>64</v>
      </c>
      <c r="D8" s="11"/>
      <c r="E8" s="11"/>
      <c r="F8" s="11"/>
      <c r="G8" s="11"/>
      <c r="H8" s="11"/>
      <c r="I8" s="11"/>
      <c r="J8" s="91">
        <f t="shared" si="1"/>
        <v>0</v>
      </c>
      <c r="K8" s="92">
        <v>14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67</v>
      </c>
      <c r="C11" s="11">
        <v>55</v>
      </c>
      <c r="D11" s="11"/>
      <c r="E11" s="11"/>
      <c r="F11" s="11"/>
      <c r="G11" s="11"/>
      <c r="H11" s="11"/>
      <c r="I11" s="11"/>
      <c r="J11" s="91">
        <f t="shared" si="1"/>
        <v>0</v>
      </c>
      <c r="K11" s="92">
        <v>12</v>
      </c>
    </row>
    <row r="12" spans="1:11" ht="15.75" customHeight="1" thickBot="1">
      <c r="A12" s="10" t="s">
        <v>13</v>
      </c>
      <c r="B12" s="11">
        <f t="shared" si="0"/>
        <v>40</v>
      </c>
      <c r="C12" s="11">
        <v>35</v>
      </c>
      <c r="D12" s="11"/>
      <c r="E12" s="11"/>
      <c r="F12" s="11"/>
      <c r="G12" s="11"/>
      <c r="H12" s="11"/>
      <c r="I12" s="11"/>
      <c r="J12" s="91">
        <f t="shared" si="1"/>
        <v>0</v>
      </c>
      <c r="K12" s="92">
        <v>5</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4</v>
      </c>
      <c r="C14" s="11">
        <v>4</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50</v>
      </c>
      <c r="Q7" s="42">
        <f>C6-C7</f>
        <v>2310</v>
      </c>
      <c r="R7" s="42">
        <f t="shared" ref="R7:R15" si="5">SUM(N7:Q7)</f>
        <v>2360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64</v>
      </c>
      <c r="D8" s="34">
        <f>IF((AND(C67&gt;0,C8&gt;0)),(C8/C67),0)</f>
        <v>128</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64</v>
      </c>
      <c r="Q8" s="42">
        <f>(C$67*L67)-C8</f>
        <v>-14</v>
      </c>
      <c r="R8" s="42">
        <f t="shared" si="5"/>
        <v>50.05</v>
      </c>
      <c r="S8" s="30">
        <f t="shared" si="6"/>
        <v>512.51200000000006</v>
      </c>
      <c r="T8" s="30">
        <f t="shared" si="7"/>
        <v>-2232</v>
      </c>
      <c r="U8" s="31">
        <f t="shared" si="8"/>
        <v>-0.22962007168458784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0</v>
      </c>
      <c r="E42" s="56">
        <f>MAX(C42:D42)</f>
        <v>2.36</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0</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0</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0</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0</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Entry'!J6</f>
        <v>143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Entry'!J7</f>
        <v>1</v>
      </c>
      <c r="F7" s="34">
        <f>IF((AND($E$7&gt;0,$D$66&gt;0)),($E$7/$D$66),0)</f>
        <v>6.9930069930069934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142</v>
      </c>
      <c r="P7" s="42">
        <f t="shared" ref="P7:P15" si="4">C7</f>
        <v>50</v>
      </c>
      <c r="Q7" s="42">
        <f>C6-C7</f>
        <v>2310</v>
      </c>
      <c r="R7" s="42">
        <f t="shared" ref="R7:R15" si="5">SUM(N7:Q7)</f>
        <v>2503</v>
      </c>
      <c r="S7" s="30">
        <f t="shared" ref="S7:S15" si="6">R7*((((N7*Q7)-(O7*P7))^2))</f>
        <v>57429082300</v>
      </c>
      <c r="T7" s="30">
        <f t="shared" ref="T7:T15" si="7">(N7+O7)*(P7+Q7)*(N7+P7)*(O7+Q7)</f>
        <v>42202548960</v>
      </c>
      <c r="U7" s="31">
        <f t="shared" ref="U7:U15" si="8">IF((S7&gt;0),S7/T7,"- -")</f>
        <v>1.3607965327978615</v>
      </c>
    </row>
    <row r="8" spans="2:21" ht="18" customHeight="1">
      <c r="B8" s="32" t="str">
        <f>'Data Entry'!A8</f>
        <v>3. Refer to Juvenile Court</v>
      </c>
      <c r="C8" s="33">
        <f>'Data Entry'!C8</f>
        <v>64</v>
      </c>
      <c r="D8" s="34">
        <f>IF((AND(C67&gt;0,C8&gt;0)),(C8/C67),0)</f>
        <v>128</v>
      </c>
      <c r="E8" s="33">
        <f>'Data Entry'!J8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64</v>
      </c>
      <c r="Q8" s="42">
        <f>(C$67*L67)-C8</f>
        <v>-14</v>
      </c>
      <c r="R8" s="42">
        <f t="shared" si="5"/>
        <v>51.05</v>
      </c>
      <c r="S8" s="30">
        <f t="shared" si="6"/>
        <v>230533.63199999998</v>
      </c>
      <c r="T8" s="30">
        <f t="shared" si="7"/>
        <v>-43512</v>
      </c>
      <c r="U8" s="31">
        <f t="shared" si="8"/>
        <v>-5.2981621621621615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0.14299999999999999</v>
      </c>
      <c r="E42" s="56">
        <f>MAX(C42:D42)</f>
        <v>2.36</v>
      </c>
      <c r="G42" s="1" t="str">
        <f>B42</f>
        <v>per 1000 youth</v>
      </c>
      <c r="L42" s="57">
        <v>1000</v>
      </c>
      <c r="M42" s="57"/>
      <c r="R42" s="49"/>
    </row>
    <row r="43" spans="2:18" ht="15" hidden="1" customHeight="1">
      <c r="B43" s="49" t="s">
        <v>87</v>
      </c>
      <c r="C43" s="56">
        <f>C7/100</f>
        <v>0.5</v>
      </c>
      <c r="D43" s="56">
        <f>E7/100</f>
        <v>0.01</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0.14299999999999999</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0.01</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0.14299999999999999</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0.01</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0.14299999999999999</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0.01</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0.14299999999999999</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0.01</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Alpena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2503</v>
      </c>
      <c r="D3" s="57">
        <f>'Data Entry'!C6</f>
        <v>2360</v>
      </c>
      <c r="E3" s="57">
        <f>'Data Entry'!D6</f>
        <v>56</v>
      </c>
      <c r="F3" s="57">
        <f>'Data Entry'!E6</f>
        <v>48</v>
      </c>
      <c r="G3" s="57">
        <f>'Data Entry'!F6</f>
        <v>12</v>
      </c>
      <c r="H3" s="57">
        <f>'Data Entry'!G6</f>
        <v>0</v>
      </c>
      <c r="I3" s="57">
        <f>'Data Entry'!H6</f>
        <v>27</v>
      </c>
      <c r="J3" s="57">
        <f>'Data Entry'!I6</f>
        <v>0</v>
      </c>
      <c r="K3" s="57">
        <f>'Data Entry'!J6</f>
        <v>143</v>
      </c>
    </row>
    <row r="4" spans="2:11" ht="15" customHeight="1">
      <c r="B4" s="16" t="s">
        <v>8</v>
      </c>
      <c r="C4" s="1">
        <f>IF((C$3&gt;0),(1000*('Data Entry'!B7/'Data Entry'!B$6)), 0)</f>
        <v>21.574111066719937</v>
      </c>
      <c r="D4" s="1">
        <f>IF((D$3&gt;0),(1000*('Data Entry'!C7/'Data Entry'!C$6)), 0)</f>
        <v>21.1864406779661</v>
      </c>
      <c r="E4" s="1">
        <f>IF((E$3&gt;0),(1000*('Data Entry'!D7/'Data Entry'!D$6)), 0)</f>
        <v>17.857142857142858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6.9930069930069934</v>
      </c>
    </row>
    <row r="5" spans="2:11" ht="15" customHeight="1">
      <c r="B5" s="16" t="s">
        <v>9</v>
      </c>
      <c r="C5" s="1">
        <f>IF((C$3&gt;0),(1000*('Data Entry'!B8/'Data Entry'!B$6)), 0)</f>
        <v>31.162604874151018</v>
      </c>
      <c r="D5" s="1">
        <f>IF((D$3&gt;0),(1000*('Data Entry'!C8/'Data Entry'!C$6)), 0)</f>
        <v>27.118644067796609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0.39952057530962842</v>
      </c>
      <c r="D7" s="1">
        <f>IF((D$3&gt;0),(1000*('Data Entry'!C10/'Data Entry'!C$6)), 0)</f>
        <v>0.42372881355932202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26.767878545745106</v>
      </c>
      <c r="D8" s="1">
        <f>IF((D$3&gt;0),(1000*('Data Entry'!C11/'Data Entry'!C$6)), 0)</f>
        <v>23.305084745762713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15.980823012385136</v>
      </c>
      <c r="D9" s="1">
        <f>IF((D$3&gt;0),(1000*('Data Entry'!C12/'Data Entry'!C$6)), 0)</f>
        <v>14.830508474576272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1.5980823012385137</v>
      </c>
      <c r="D11" s="1">
        <f>IF((D$3&gt;0),(1000*('Data Entry'!C14/'Data Entry'!C$6)), 0)</f>
        <v>1.6949152542372881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Alpena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0.84285714285714297</v>
      </c>
      <c r="E19" s="72" t="str">
        <f t="shared" si="1"/>
        <v>--</v>
      </c>
      <c r="F19" s="72" t="str">
        <f t="shared" si="1"/>
        <v>--</v>
      </c>
      <c r="G19" s="72" t="str">
        <f t="shared" si="1"/>
        <v>--</v>
      </c>
      <c r="H19" s="72" t="str">
        <f t="shared" si="1"/>
        <v>--</v>
      </c>
      <c r="I19" s="72" t="str">
        <f t="shared" si="1"/>
        <v>--</v>
      </c>
      <c r="J19" s="73">
        <f t="shared" si="1"/>
        <v>0.33006993006993013</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Alpena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2360</v>
      </c>
      <c r="D7" s="104">
        <f>'Data Entry'!D6</f>
        <v>56</v>
      </c>
      <c r="E7" s="105"/>
      <c r="F7" s="106">
        <f>'Data Entry'!E6</f>
        <v>48</v>
      </c>
      <c r="G7" s="105"/>
      <c r="H7" s="106">
        <f>'Data Entry'!F6</f>
        <v>12</v>
      </c>
      <c r="I7" s="105"/>
      <c r="J7" s="106">
        <f>'Data Entry'!G6</f>
        <v>0</v>
      </c>
      <c r="K7" s="105"/>
      <c r="L7" s="106">
        <f>'Data Entry'!H6</f>
        <v>27</v>
      </c>
      <c r="M7" s="105"/>
      <c r="N7" s="106">
        <f>'Data Entry'!I6</f>
        <v>0</v>
      </c>
      <c r="O7" s="105"/>
      <c r="P7" s="106">
        <f>'Data Entry'!J6</f>
        <v>143</v>
      </c>
      <c r="Q7" s="107"/>
    </row>
    <row r="8" spans="2:26" s="1" customFormat="1" ht="15" customHeight="1">
      <c r="B8" s="142" t="s">
        <v>8</v>
      </c>
      <c r="C8" s="103">
        <f>'Data Entry'!C7</f>
        <v>50</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64</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55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35</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Alpena</v>
      </c>
    </row>
    <row r="6" spans="1:12">
      <c r="A6" s="135" t="str">
        <f>CONCATENATE("Percentage of Minorities at Stages of the Juvenile Justice System, ", A5, " 2024")</f>
        <v>Percentage of Minorities at Stages of the Juvenile Justice System, County: Alpena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16.503496503496503</v>
      </c>
    </row>
    <row r="8" spans="1:12" ht="25.5" customHeight="1">
      <c r="A8" s="151" t="str">
        <f>CONCATENATE("Confinement, total N=", 'Data Entry'!B14)</f>
        <v>Confinement, total N=4</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N=4</v>
      </c>
      <c r="L8">
        <f>I14/(SUM(B14:G14))</f>
        <v>16.503496503496503</v>
      </c>
    </row>
    <row r="9" spans="1:12">
      <c r="A9" s="128" t="str">
        <f>CONCATENATE("Delinquent Findings, total N=", 'Data Entry'!B12)</f>
        <v>Delinquent Findings, total N=40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0.875</v>
      </c>
      <c r="K9" s="96" t="str">
        <f t="shared" si="0"/>
        <v>Delinquent Findings, total N=40</v>
      </c>
      <c r="L9">
        <f>I14/(SUM(B14:G14))</f>
        <v>16.503496503496503</v>
      </c>
    </row>
    <row r="10" spans="1:12">
      <c r="A10" s="128" t="str">
        <f>CONCATENATE("Petitions, total N=", 'Data Entry'!B11)</f>
        <v>Petitions, total N=67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0.82089552238805974</v>
      </c>
      <c r="K10" s="96" t="str">
        <f t="shared" si="0"/>
        <v>Petitions, total N=67</v>
      </c>
      <c r="L10">
        <f>I14/(SUM(B14:G14))</f>
        <v>16.503496503496503</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16.503496503496503</v>
      </c>
    </row>
    <row r="12" spans="1:12">
      <c r="A12" s="128" t="str">
        <f>CONCATENATE("Referrals, total N=", 'Data Entry'!B8)</f>
        <v>Referrals, total N=78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0.82051282051282048</v>
      </c>
      <c r="K12" s="96" t="str">
        <f t="shared" si="0"/>
        <v>Referrals, total N=78</v>
      </c>
      <c r="L12">
        <f>I14/(SUM(B14:G14))</f>
        <v>16.503496503496503</v>
      </c>
    </row>
    <row r="13" spans="1:12">
      <c r="A13" s="128" t="str">
        <f>CONCATENATE("Arrests, total N=", 'Data Entry'!B7)</f>
        <v>Arrests, total N=54</v>
      </c>
      <c r="B13" s="150">
        <f>'Data Entry'!D7/'Data Entry'!B7</f>
        <v>1.8518518518518517E-2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0.92592592592592593</v>
      </c>
      <c r="K13" s="96" t="str">
        <f t="shared" si="0"/>
        <v>Arrests, total N=54</v>
      </c>
      <c r="L13">
        <f>I14/(SUM(B14:G14))</f>
        <v>16.503496503496503</v>
      </c>
    </row>
    <row r="14" spans="1:12">
      <c r="A14" s="128" t="str">
        <f>CONCATENATE("Population, total N=", 'Data Entry'!B6)</f>
        <v>Population, total N=2503</v>
      </c>
      <c r="B14" s="150">
        <f>'Data Entry'!D6/'Data Entry'!B6</f>
        <v>2.2373152217339192E-2</v>
      </c>
      <c r="C14" s="150">
        <f>'Data Entry'!E6/'Data Entry'!B6</f>
        <v>1.9176987614862164E-2</v>
      </c>
      <c r="D14" s="150">
        <f>'Data Entry'!F6/'Data Entry'!B6</f>
        <v>4.794246903715541E-3</v>
      </c>
      <c r="E14" s="150">
        <f>'Data Entry'!G6/'Data Entry'!B6</f>
        <v>0</v>
      </c>
      <c r="F14" s="150">
        <f>'Data Entry'!H6/'Data Entry'!B6</f>
        <v>1.0787055533359968E-2</v>
      </c>
      <c r="G14" s="150">
        <f>'Data Entry'!I6/'Data Entry'!B6</f>
        <v>0</v>
      </c>
      <c r="H14" s="150">
        <f>SUM(D14:G14)/'Data Entry'!B6</f>
        <v>6.2250509137337237E-6</v>
      </c>
      <c r="I14" s="150">
        <f>'Data Entry'!C6/'Data Entry'!B6</f>
        <v>0.94286855773072309</v>
      </c>
      <c r="K14" s="96" t="str">
        <f t="shared" si="0"/>
        <v>Population, total N=2503</v>
      </c>
      <c r="L14">
        <f>I14/(SUM(B14:G14))</f>
        <v>16.503496503496503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Alpena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2360</v>
      </c>
      <c r="D7" s="104">
        <f>'Data Entry'!D6</f>
        <v>56</v>
      </c>
      <c r="E7" s="105"/>
      <c r="F7" s="106">
        <f>'Data Entry'!E6</f>
        <v>48</v>
      </c>
      <c r="G7" s="105"/>
      <c r="H7" s="106">
        <f>'Data Entry'!F6</f>
        <v>12</v>
      </c>
      <c r="I7" s="105"/>
      <c r="J7" s="106">
        <f>'Data Entry'!J6</f>
        <v>143</v>
      </c>
      <c r="K7" s="107"/>
    </row>
    <row r="8" spans="2:30" s="1" customFormat="1" ht="15" customHeight="1">
      <c r="B8" s="121" t="s">
        <v>8</v>
      </c>
      <c r="C8" s="103">
        <f>'Data Entry'!C7</f>
        <v>50</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64</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55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35</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4</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Entry'!D6</f>
        <v>56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Entry'!D7</f>
        <v>1</v>
      </c>
      <c r="F7" s="34">
        <f>IF((AND($E$7&gt;0,$D$66&gt;0)),($E$7/$D$66),0)</f>
        <v>17.857142857142858</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55</v>
      </c>
      <c r="P7" s="42">
        <f t="shared" ref="P7:P15" si="2">C7</f>
        <v>50</v>
      </c>
      <c r="Q7" s="42">
        <f>C6-C7</f>
        <v>2310</v>
      </c>
      <c r="R7" s="42">
        <f t="shared" ref="R7:R15" si="3">SUM(N7:Q7)</f>
        <v>2416</v>
      </c>
      <c r="S7" s="30">
        <f t="shared" ref="S7:S15" si="4">R7*((((N7*Q7)-(O7*P7))^2))</f>
        <v>467737600</v>
      </c>
      <c r="T7" s="30">
        <f t="shared" ref="T7:T15" si="5">(N7+O7)*(P7+Q7)*(N7+P7)*(O7+Q7)</f>
        <v>15940478400</v>
      </c>
      <c r="U7" s="31">
        <f t="shared" ref="U7:U15" si="6">IF((S7&gt;0),S7/T7,"- -")</f>
        <v>2.9342757994013528E-2</v>
      </c>
    </row>
    <row r="8" spans="2:21" ht="18" customHeight="1">
      <c r="B8" s="32" t="str">
        <f>'Data Entry'!A8</f>
        <v>3. Refer to Juvenile Court</v>
      </c>
      <c r="C8" s="33">
        <f>'Data Entry'!C8</f>
        <v>64</v>
      </c>
      <c r="D8" s="34">
        <f>IF((AND(C67&gt;0,C8&gt;0)),(C8/C67),0)</f>
        <v>128</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1.05</v>
      </c>
      <c r="P8" s="42">
        <f t="shared" si="2"/>
        <v>64</v>
      </c>
      <c r="Q8" s="42">
        <f>(C$67*L67)-C8</f>
        <v>-14</v>
      </c>
      <c r="R8" s="42">
        <f t="shared" si="3"/>
        <v>51.05</v>
      </c>
      <c r="S8" s="30">
        <f t="shared" si="4"/>
        <v>230533.63199999998</v>
      </c>
      <c r="T8" s="30">
        <f t="shared" si="5"/>
        <v>-43512</v>
      </c>
      <c r="U8" s="31">
        <f t="shared" si="6"/>
        <v>-5.2981621621621615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64</v>
      </c>
      <c r="R9" s="42">
        <f t="shared" si="3"/>
        <v>64</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1.5625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63</v>
      </c>
      <c r="R10" s="42">
        <f t="shared" si="3"/>
        <v>64</v>
      </c>
      <c r="S10" s="30">
        <f t="shared" si="4"/>
        <v>0</v>
      </c>
      <c r="T10" s="30">
        <f t="shared" si="5"/>
        <v>0</v>
      </c>
      <c r="U10" s="31" t="str">
        <f t="shared" si="6"/>
        <v>- -</v>
      </c>
    </row>
    <row r="11" spans="2:21" ht="18" customHeight="1">
      <c r="B11" s="32" t="str">
        <f>'Data Entry'!A11</f>
        <v>6. Cases Petitioned (Charge Filed)</v>
      </c>
      <c r="C11" s="33">
        <f>'Data Entry'!C11</f>
        <v>55</v>
      </c>
      <c r="D11" s="34">
        <f>IF(((AND(C68&gt;0,C11&gt;0))),(C11/(C68)),0)</f>
        <v>85.9375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55</v>
      </c>
      <c r="Q11" s="42">
        <f>(C$68*L68)-C11</f>
        <v>9</v>
      </c>
      <c r="R11" s="42">
        <f t="shared" si="3"/>
        <v>64</v>
      </c>
      <c r="S11" s="30">
        <f t="shared" si="4"/>
        <v>0</v>
      </c>
      <c r="T11" s="30">
        <f t="shared" si="5"/>
        <v>0</v>
      </c>
      <c r="U11" s="31" t="str">
        <f t="shared" si="6"/>
        <v>- -</v>
      </c>
    </row>
    <row r="12" spans="2:21" ht="18" customHeight="1">
      <c r="B12" s="32" t="str">
        <f>'Data Entry'!A12</f>
        <v>7. Cases Resulting in Delinquent Findings</v>
      </c>
      <c r="C12" s="33">
        <f>'Data Entry'!C12</f>
        <v>35</v>
      </c>
      <c r="D12" s="34">
        <f>IF(((AND(C69&gt;0,C12&gt;0))),(C12/(C69)),0)</f>
        <v>63.636363636363633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35</v>
      </c>
      <c r="Q12" s="42">
        <f>(C69*L69)-C12</f>
        <v>20.000000000000007</v>
      </c>
      <c r="R12" s="42">
        <f t="shared" si="3"/>
        <v>55.000000000000007</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35</v>
      </c>
      <c r="R13" s="42">
        <f t="shared" si="3"/>
        <v>35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31</v>
      </c>
      <c r="R14" s="42">
        <f t="shared" si="3"/>
        <v>35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55.000000000000007</v>
      </c>
      <c r="R15" s="42">
        <f t="shared" si="3"/>
        <v>55.000000000000007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5.6000000000000001E-2</v>
      </c>
      <c r="E42" s="56">
        <f>MAX(C42:D42)</f>
        <v>2.36</v>
      </c>
      <c r="G42" s="1" t="str">
        <f>B42</f>
        <v>per 1000 youth</v>
      </c>
      <c r="L42" s="57">
        <v>1000</v>
      </c>
      <c r="M42" s="57"/>
      <c r="R42" s="49"/>
    </row>
    <row r="43" spans="2:18" ht="15" hidden="1" customHeight="1">
      <c r="B43" s="49" t="s">
        <v>87</v>
      </c>
      <c r="C43" s="56">
        <f>C7/100</f>
        <v>0.5</v>
      </c>
      <c r="D43" s="56">
        <f>E7/100</f>
        <v>0.01</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5.6000000000000001E-2</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v>
      </c>
      <c r="D49" s="49">
        <f t="shared" si="9"/>
        <v>0.01</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5.6000000000000001E-2</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0.01</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5.6000000000000001E-2</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0.01</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5.6000000000000001E-2</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0.01</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Entry'!F6</f>
        <v>12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v>
      </c>
      <c r="P7" s="42">
        <f t="shared" ref="P7:P15" si="4">C7</f>
        <v>50</v>
      </c>
      <c r="Q7" s="42">
        <f>C6-C7</f>
        <v>2310</v>
      </c>
      <c r="R7" s="42">
        <f t="shared" ref="R7:R15" si="5">SUM(N7:Q7)</f>
        <v>2372</v>
      </c>
      <c r="S7" s="30">
        <f t="shared" ref="S7:S15" si="6">R7*((((N7*Q7)-(O7*P7))^2))</f>
        <v>853920000</v>
      </c>
      <c r="T7" s="30">
        <f t="shared" ref="T7:T15" si="7">(N7+O7)*(P7+Q7)*(N7+P7)*(O7+Q7)</f>
        <v>3287952000</v>
      </c>
      <c r="U7" s="31">
        <f t="shared" ref="U7:U15" si="8">IF((S7&gt;0),S7/T7,"- -")</f>
        <v>0.25971182061051984</v>
      </c>
    </row>
    <row r="8" spans="2:21" ht="18" customHeight="1">
      <c r="B8" s="32" t="str">
        <f>'Data Entry'!A8</f>
        <v>3. Refer to Juvenile Court</v>
      </c>
      <c r="C8" s="33">
        <f>'Data Entry'!C8</f>
        <v>64</v>
      </c>
      <c r="D8" s="34">
        <f>IF((AND(C67&gt;0,C8&gt;0)),(C8/C67),0)</f>
        <v>128</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64</v>
      </c>
      <c r="Q8" s="42">
        <f>(C$67*L67)-C8</f>
        <v>-14</v>
      </c>
      <c r="R8" s="42">
        <f t="shared" si="5"/>
        <v>50.05</v>
      </c>
      <c r="S8" s="30">
        <f t="shared" si="6"/>
        <v>512.51200000000006</v>
      </c>
      <c r="T8" s="30">
        <f t="shared" si="7"/>
        <v>-2232</v>
      </c>
      <c r="U8" s="31">
        <f t="shared" si="8"/>
        <v>-0.22962007168458784</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1.2E-2</v>
      </c>
      <c r="E42" s="56">
        <f>MAX(C42:D42)</f>
        <v>2.36</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1.2E-2</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1.2E-2</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1.2E-2</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1.2E-2</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Entry'!E6</f>
        <v>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48</v>
      </c>
      <c r="P7" s="42">
        <f t="shared" ref="P7:P15" si="4">C7</f>
        <v>50</v>
      </c>
      <c r="Q7" s="42">
        <f>C6-C7</f>
        <v>2310</v>
      </c>
      <c r="R7" s="42">
        <f t="shared" ref="R7:R15" si="5">SUM(N7:Q7)</f>
        <v>2408</v>
      </c>
      <c r="S7" s="30">
        <f t="shared" ref="S7:S15" si="6">R7*((((N7*Q7)-(O7*P7))^2))</f>
        <v>13870080000</v>
      </c>
      <c r="T7" s="30">
        <f t="shared" ref="T7:T15" si="7">(N7+O7)*(P7+Q7)*(N7+P7)*(O7+Q7)</f>
        <v>13355712000</v>
      </c>
      <c r="U7" s="31">
        <f t="shared" ref="U7:U15" si="8">IF((S7&gt;0),S7/T7,"- -")</f>
        <v>1.0385129598481908</v>
      </c>
    </row>
    <row r="8" spans="2:21" ht="18" customHeight="1">
      <c r="B8" s="32" t="str">
        <f>'Data Entry'!A8</f>
        <v>3. Refer to Juvenile Court</v>
      </c>
      <c r="C8" s="33">
        <f>'Data Entry'!C8</f>
        <v>64</v>
      </c>
      <c r="D8" s="34">
        <f>IF((AND(C67&gt;0,C8&gt;0)),(C8/C67),0)</f>
        <v>128</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-14</v>
      </c>
      <c r="R8" s="42">
        <f t="shared" si="5"/>
        <v>50.05</v>
      </c>
      <c r="S8" s="30">
        <f t="shared" si="6"/>
        <v>512.51200000000006</v>
      </c>
      <c r="T8" s="30">
        <f t="shared" si="7"/>
        <v>-2232</v>
      </c>
      <c r="U8" s="31">
        <f t="shared" si="8"/>
        <v>-0.22962007168458784</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4.8000000000000001E-2</v>
      </c>
      <c r="E42" s="56">
        <f>MAX(C42:D42)</f>
        <v>2.36</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4.8000000000000001E-2</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4.8000000000000001E-2</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4.8000000000000001E-2</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4.8000000000000001E-2</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50</v>
      </c>
      <c r="Q7" s="42">
        <f>C6-C7</f>
        <v>2310</v>
      </c>
      <c r="R7" s="42">
        <f t="shared" ref="R7:R15" si="5">SUM(N7:Q7)</f>
        <v>2360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64</v>
      </c>
      <c r="D8" s="34">
        <f>IF((AND(C67&gt;0,C8&gt;0)),(C8/C67),0)</f>
        <v>128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64</v>
      </c>
      <c r="Q8" s="42">
        <f>(C$67*L67)-C8</f>
        <v>-14</v>
      </c>
      <c r="R8" s="42">
        <f t="shared" si="5"/>
        <v>50.05</v>
      </c>
      <c r="S8" s="30">
        <f t="shared" si="6"/>
        <v>512.51200000000006</v>
      </c>
      <c r="T8" s="30">
        <f t="shared" si="7"/>
        <v>-2232</v>
      </c>
      <c r="U8" s="31">
        <f t="shared" si="8"/>
        <v>-0.22962007168458784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0</v>
      </c>
      <c r="E42" s="56">
        <f>MAX(C42:D42)</f>
        <v>2.36</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0</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0</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0</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0</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2360</v>
      </c>
      <c r="D6" s="34"/>
      <c r="E6" s="33">
        <f>'Data Entry'!H6</f>
        <v>27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21.186440677966104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v>
      </c>
      <c r="P7" s="42">
        <f t="shared" ref="P7:P15" si="4">C7</f>
        <v>50</v>
      </c>
      <c r="Q7" s="42">
        <f>C6-C7</f>
        <v>2310</v>
      </c>
      <c r="R7" s="42">
        <f t="shared" ref="R7:R15" si="5">SUM(N7:Q7)</f>
        <v>2387</v>
      </c>
      <c r="S7" s="30">
        <f t="shared" ref="S7:S15" si="6">R7*((((N7*Q7)-(O7*P7))^2))</f>
        <v>4350307500</v>
      </c>
      <c r="T7" s="30">
        <f t="shared" ref="T7:T15" si="7">(N7+O7)*(P7+Q7)*(N7+P7)*(O7+Q7)</f>
        <v>7445682000</v>
      </c>
      <c r="U7" s="31">
        <f t="shared" ref="U7:U15" si="8">IF((S7&gt;0),S7/T7,"- -")</f>
        <v>0.58427253541045665</v>
      </c>
    </row>
    <row r="8" spans="2:21" ht="18" customHeight="1">
      <c r="B8" s="32" t="str">
        <f>'Data Entry'!A8</f>
        <v>3. Refer to Juvenile Court</v>
      </c>
      <c r="C8" s="33">
        <f>'Data Entry'!C8</f>
        <v>64</v>
      </c>
      <c r="D8" s="34">
        <f>IF((AND(C67&gt;0,C8&gt;0)),(C8/C67),0)</f>
        <v>128</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-14</v>
      </c>
      <c r="R8" s="42">
        <f t="shared" si="5"/>
        <v>50.05</v>
      </c>
      <c r="S8" s="30">
        <f t="shared" si="6"/>
        <v>512.51200000000006</v>
      </c>
      <c r="T8" s="30">
        <f t="shared" si="7"/>
        <v>-2232</v>
      </c>
      <c r="U8" s="31">
        <f t="shared" si="8"/>
        <v>-0.22962007168458784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1.5625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85.9375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9</v>
      </c>
      <c r="R11" s="42">
        <f t="shared" si="5"/>
        <v>64</v>
      </c>
      <c r="S11" s="30">
        <f t="shared" si="6"/>
        <v>0</v>
      </c>
      <c r="T11" s="30">
        <f t="shared" si="7"/>
        <v>0</v>
      </c>
      <c r="U11" s="31" t="str">
        <f t="shared" si="8"/>
        <v>- -</v>
      </c>
    </row>
    <row r="12" spans="2:21" ht="18" customHeight="1">
      <c r="B12" s="32" t="str">
        <f>'Data Entry'!A12</f>
        <v>7. Cases Resulting in Delinquent Findings</v>
      </c>
      <c r="C12" s="33">
        <f>'Data Entry'!C12</f>
        <v>35</v>
      </c>
      <c r="D12" s="34">
        <f>IF(((AND(C69&gt;0,C12&gt;0))),(C12/(C69)),0)</f>
        <v>63.636363636363633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35</v>
      </c>
      <c r="Q12" s="42">
        <f>(C69*L69)-C12</f>
        <v>20.000000000000007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35</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11.428571428571429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31</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2.36</v>
      </c>
      <c r="D42" s="56">
        <f>E6/1000</f>
        <v>2.7E-2</v>
      </c>
      <c r="E42" s="56">
        <f>MAX(C42:D42)</f>
        <v>2.36</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0.64</v>
      </c>
      <c r="D44" s="56">
        <f>E8/100</f>
        <v>0</v>
      </c>
      <c r="E44" s="56">
        <f>MAX(C44:D44,0)</f>
        <v>0.64</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0.35</v>
      </c>
      <c r="D46" s="49">
        <f>E12/100</f>
        <v>0</v>
      </c>
      <c r="E46" s="56">
        <f>MAX(C46:D46)</f>
        <v>0.35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2.36</v>
      </c>
      <c r="D48" s="56">
        <f>D42</f>
        <v>2.7E-2</v>
      </c>
      <c r="E48" s="56">
        <f>MAX(C48:D48)</f>
        <v>2.36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0.35</v>
      </c>
      <c r="D52" s="49">
        <f>IF(($E46&gt;0),D46,D45)</f>
        <v>0</v>
      </c>
      <c r="E52" s="56">
        <f>MAX(C52:D52)</f>
        <v>0.35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2.36</v>
      </c>
      <c r="D54" s="56">
        <f>D48</f>
        <v>2.7E-2</v>
      </c>
      <c r="E54" s="56">
        <f>MAX(C54:D54)</f>
        <v>2.36</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0.35</v>
      </c>
      <c r="D58" s="49">
        <f>IF(($E52&gt;0),D52,D51)</f>
        <v>0</v>
      </c>
      <c r="E58" s="56">
        <f>MAX(C58:D58)</f>
        <v>0.35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2.36</v>
      </c>
      <c r="D60" s="56">
        <f>D54</f>
        <v>2.7E-2</v>
      </c>
      <c r="E60" s="56">
        <f>MAX(C60:D60)</f>
        <v>2.36</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0.35</v>
      </c>
      <c r="D64" s="49">
        <f>IF(($E58&gt;0),D58,D57)</f>
        <v>0</v>
      </c>
      <c r="E64" s="56">
        <f>MAX(C64:D64)</f>
        <v>0.35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2.36</v>
      </c>
      <c r="D66" s="56">
        <f>D60</f>
        <v>2.7E-2</v>
      </c>
      <c r="E66" s="56">
        <f>MAX(C66:D66)</f>
        <v>2.36</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0.35</v>
      </c>
      <c r="D70" s="49">
        <f>IF(($E64&gt;0),D64,D63)</f>
        <v>0</v>
      </c>
      <c r="E70" s="56">
        <f>MAX(C70:D70)</f>
        <v>0.35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U47JMPN4QEAR-1806752177-35322</_dlc_DocId>
    <_dlc_DocIdUrl xmlns="ac3811b5-0f3e-49e2-ba69-f2ffa0c782af">
      <Url>https://michiganphi.sharepoint.com/sites/CMDMC/_layouts/15/DocIdRedir.aspx?ID=U47JMPN4QEAR-1806752177-35322</Url>
      <Description>U47JMPN4QEAR-1806752177-35322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65A92C-69E9-4946-AA74-FED545D76F03}"/>
</file>

<file path=customXml/itemProps2.xml><?xml version="1.0" encoding="utf-8"?>
<ds:datastoreItem xmlns:ds="http://schemas.openxmlformats.org/officeDocument/2006/customXml" ds:itemID="{3800BBCE-A4FB-4090-A8CF-843310A3A043}">
  <ds:schemaRefs>
    <ds:schemaRef ds:uri="http://schemas.microsoft.com/sharepoint/v3/contenttype/forms"/>
  </ds:schemaRefs>
</ds:datastoreItem>
</file>

<file path=customXml/itemProps3.xml><?xml version="1.0" encoding="utf-8"?>
<ds:datastoreItem xmlns:ds="http://schemas.openxmlformats.org/officeDocument/2006/customXml" ds:itemID="{34E05DB5-DAD1-4D80-B321-15678379201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06B18A2A-91EF-43EC-B386-73582522BB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a8b643fa-5e37-4632-aff3-40e7f693fd58</vt:lpwstr>
  </property>
</Properties>
</file>