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6BE96473-DA1A-4545-857C-1EF6D5D3DD5E}"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8" i="1"/>
  <c r="B9" i="1"/>
  <c r="B10" i="1"/>
  <c r="B11" i="1"/>
  <c r="B12" i="1"/>
  <c r="B13" i="1"/>
  <c r="B14"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c r="B60" i="6"/>
  <c r="B66" i="6" s="1"/>
  <c r="J27" i="6"/>
  <c r="G42" i="6"/>
  <c r="G48" i="6" s="1"/>
  <c r="G54" i="6" s="1"/>
  <c r="G60" i="6" s="1"/>
  <c r="G66" i="6" s="1"/>
  <c r="G43" i="6"/>
  <c r="G49" i="6"/>
  <c r="G55" i="6" s="1"/>
  <c r="G61" i="6" s="1"/>
  <c r="G67" i="6" s="1"/>
  <c r="G44" i="6"/>
  <c r="G45" i="6"/>
  <c r="G51" i="6"/>
  <c r="G57" i="6" s="1"/>
  <c r="G63" i="6" s="1"/>
  <c r="G69" i="6" s="1"/>
  <c r="G46" i="6"/>
  <c r="G52" i="6"/>
  <c r="G58" i="6"/>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48" i="7"/>
  <c r="G54" i="7" s="1"/>
  <c r="G60" i="7" s="1"/>
  <c r="G66" i="7" s="1"/>
  <c r="L48" i="7"/>
  <c r="L54" i="7" s="1"/>
  <c r="L60" i="7" s="1"/>
  <c r="L66" i="7" s="1"/>
  <c r="G50" i="7"/>
  <c r="G56" i="7"/>
  <c r="G62" i="7" s="1"/>
  <c r="G68" i="7" s="1"/>
  <c r="G52" i="7"/>
  <c r="G58" i="7" s="1"/>
  <c r="G64" i="7" s="1"/>
  <c r="G70"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c r="G60" i="8"/>
  <c r="G66" i="8" s="1"/>
  <c r="L48" i="8"/>
  <c r="L54" i="8" s="1"/>
  <c r="L60" i="8" s="1"/>
  <c r="L66" i="8" s="1"/>
  <c r="G49" i="8"/>
  <c r="G55" i="8" s="1"/>
  <c r="G61" i="8" s="1"/>
  <c r="G67"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6"/>
  <c r="M66" i="6"/>
  <c r="F27" i="2"/>
  <c r="M66" i="2"/>
  <c r="M66" i="7"/>
  <c r="F27" i="7"/>
  <c r="F27" i="5"/>
  <c r="M66" i="5"/>
  <c r="F27" i="3"/>
  <c r="M66" i="3"/>
  <c r="M66" i="4"/>
  <c r="F27"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4" i="6"/>
  <c r="D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L56" i="8"/>
  <c r="D64" i="5"/>
  <c r="E64" i="5" s="1"/>
  <c r="C57" i="8"/>
  <c r="C64" i="8" s="1"/>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C63" i="3"/>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B63" i="8" s="1"/>
  <c r="Q8" i="13"/>
  <c r="I7" i="9"/>
  <c r="B63" i="3"/>
  <c r="E64" i="6"/>
  <c r="B70" i="6" s="1"/>
  <c r="M70" i="6" s="1"/>
  <c r="Z8" i="13"/>
  <c r="R7" i="9"/>
  <c r="D63" i="3"/>
  <c r="E63" i="3" s="1"/>
  <c r="C69" i="3" s="1"/>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3" i="8" l="1"/>
  <c r="C69" i="7"/>
  <c r="D12" i="7" s="1"/>
  <c r="D70" i="6"/>
  <c r="F13" i="6" s="1"/>
  <c r="B70" i="3"/>
  <c r="M70" i="3" s="1"/>
  <c r="L70" i="6"/>
  <c r="L70" i="3"/>
  <c r="Q13" i="3" s="1"/>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D13" i="3"/>
  <c r="Q9" i="3"/>
  <c r="O10" i="3"/>
  <c r="E68" i="3"/>
  <c r="O9" i="3"/>
  <c r="F31" i="3"/>
  <c r="F29" i="3"/>
  <c r="D14" i="4"/>
  <c r="L70" i="7"/>
  <c r="O14" i="7" s="1"/>
  <c r="M69" i="7"/>
  <c r="B69" i="3"/>
  <c r="M69" i="3" s="1"/>
  <c r="C70" i="8"/>
  <c r="Q13" i="8" s="1"/>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2" i="7" l="1"/>
  <c r="B69" i="6"/>
  <c r="M69" i="6" s="1"/>
  <c r="E70" i="3"/>
  <c r="D14" i="6"/>
  <c r="F34" i="3"/>
  <c r="O13" i="6"/>
  <c r="F14" i="6"/>
  <c r="O14" i="6"/>
  <c r="E69" i="7"/>
  <c r="Q14" i="3"/>
  <c r="O15" i="7"/>
  <c r="F14" i="3"/>
  <c r="E70" i="6"/>
  <c r="Q13" i="6"/>
  <c r="Q14" i="6"/>
  <c r="F33" i="3"/>
  <c r="O13" i="3"/>
  <c r="R13" i="3" s="1"/>
  <c r="S13" i="3" s="1"/>
  <c r="U13" i="3" s="1"/>
  <c r="J13" i="3" s="1"/>
  <c r="Q15" i="7"/>
  <c r="O12" i="7"/>
  <c r="K12" i="7" s="1"/>
  <c r="C69" i="6"/>
  <c r="D12" i="6" s="1"/>
  <c r="F12" i="7"/>
  <c r="O14" i="3"/>
  <c r="T14" i="3" s="1"/>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4" i="3" l="1"/>
  <c r="K13" i="3"/>
  <c r="Q15" i="6"/>
  <c r="Q12" i="6"/>
  <c r="F32" i="6"/>
  <c r="F35" i="6"/>
  <c r="T13" i="3"/>
  <c r="T13" i="6"/>
  <c r="K14" i="6"/>
  <c r="R15" i="7"/>
  <c r="S15" i="7" s="1"/>
  <c r="U15" i="7" s="1"/>
  <c r="J15" i="7" s="1"/>
  <c r="M15" i="7" s="1"/>
  <c r="R14" i="8"/>
  <c r="S14" i="8" s="1"/>
  <c r="T12" i="7"/>
  <c r="R14" i="6"/>
  <c r="S14" i="6" s="1"/>
  <c r="U14" i="6" s="1"/>
  <c r="J14" i="6" s="1"/>
  <c r="M14" i="6" s="1"/>
  <c r="G14" i="6" s="1"/>
  <c r="M15" i="13" s="1"/>
  <c r="O15" i="6"/>
  <c r="T14" i="6"/>
  <c r="K15" i="7"/>
  <c r="T15" i="7"/>
  <c r="O12" i="6"/>
  <c r="R12" i="7"/>
  <c r="S12" i="7" s="1"/>
  <c r="U12" i="7" s="1"/>
  <c r="J12" i="7" s="1"/>
  <c r="L12" i="7" s="1"/>
  <c r="S13" i="16" s="1"/>
  <c r="K13" i="6"/>
  <c r="R13" i="6"/>
  <c r="S13" i="6" s="1"/>
  <c r="U13" i="6" s="1"/>
  <c r="J13" i="6" s="1"/>
  <c r="M13" i="6" s="1"/>
  <c r="G13" i="6" s="1"/>
  <c r="G13" i="9" s="1"/>
  <c r="R14" i="3"/>
  <c r="S14" i="3" s="1"/>
  <c r="U14" i="3" s="1"/>
  <c r="J14" i="3" s="1"/>
  <c r="M14" i="3" s="1"/>
  <c r="G14" i="3" s="1"/>
  <c r="I15" i="16" s="1"/>
  <c r="T13" i="8"/>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L13" i="3"/>
  <c r="P14" i="16" s="1"/>
  <c r="U9" i="3"/>
  <c r="J9" i="3" s="1"/>
  <c r="L9" i="3" s="1"/>
  <c r="K15" i="3"/>
  <c r="T15" i="3"/>
  <c r="Q14" i="13"/>
  <c r="N30" i="5"/>
  <c r="L14" i="5"/>
  <c r="Q15" i="16" s="1"/>
  <c r="I13" i="9"/>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M12" i="7" l="1"/>
  <c r="K15" i="6"/>
  <c r="T15" i="6"/>
  <c r="K12" i="6"/>
  <c r="L15" i="7"/>
  <c r="S16" i="16" s="1"/>
  <c r="R12" i="6"/>
  <c r="S12" i="6" s="1"/>
  <c r="U12" i="6" s="1"/>
  <c r="J12" i="6" s="1"/>
  <c r="M12" i="6" s="1"/>
  <c r="G12" i="6" s="1"/>
  <c r="T12" i="6"/>
  <c r="U14" i="8"/>
  <c r="J14" i="8" s="1"/>
  <c r="N30" i="8" s="1"/>
  <c r="N30" i="3"/>
  <c r="R15" i="6"/>
  <c r="S15" i="6" s="1"/>
  <c r="U15" i="6" s="1"/>
  <c r="J15" i="6" s="1"/>
  <c r="L13" i="6"/>
  <c r="R14" i="16" s="1"/>
  <c r="I15" i="13"/>
  <c r="M14" i="13"/>
  <c r="E14" i="9"/>
  <c r="L14" i="3"/>
  <c r="P15" i="1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K9" i="7"/>
  <c r="T14" i="2"/>
  <c r="V12" i="13"/>
  <c r="U10" i="13"/>
  <c r="N11" i="9"/>
  <c r="T15" i="5"/>
  <c r="W14" i="13"/>
  <c r="N13" i="9"/>
  <c r="L15" i="3"/>
  <c r="P16" i="16" s="1"/>
  <c r="L13" i="7"/>
  <c r="S14" i="16" s="1"/>
  <c r="M9" i="3"/>
  <c r="G9" i="3" s="1"/>
  <c r="I10" i="13" s="1"/>
  <c r="I14" i="13"/>
  <c r="I14" i="16"/>
  <c r="G12" i="13"/>
  <c r="G12" i="16"/>
  <c r="N9" i="9"/>
  <c r="P10" i="16"/>
  <c r="M14" i="7"/>
  <c r="N30" i="7"/>
  <c r="L14" i="7"/>
  <c r="S15" i="16" s="1"/>
  <c r="L8" i="7"/>
  <c r="S9" i="16" s="1"/>
  <c r="O13" i="9"/>
  <c r="V14" i="13"/>
  <c r="M9" i="9"/>
  <c r="M10" i="9"/>
  <c r="O14" i="9"/>
  <c r="V10" i="13"/>
  <c r="Z14"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2" i="6" l="1"/>
  <c r="R13" i="16" s="1"/>
  <c r="Q15" i="9"/>
  <c r="L15" i="6"/>
  <c r="R16" i="16" s="1"/>
  <c r="M15" i="6"/>
  <c r="G15" i="6" s="1"/>
  <c r="M16" i="13" s="1"/>
  <c r="U14" i="2"/>
  <c r="J14" i="2" s="1"/>
  <c r="M14" i="2" s="1"/>
  <c r="G14" i="2" s="1"/>
  <c r="E15" i="16" s="1"/>
  <c r="U12" i="8"/>
  <c r="J12" i="8" s="1"/>
  <c r="L12" i="8" s="1"/>
  <c r="T13" i="16" s="1"/>
  <c r="M14" i="8"/>
  <c r="G14" i="8" s="1"/>
  <c r="K15" i="16" s="1"/>
  <c r="P13" i="9"/>
  <c r="L14" i="8"/>
  <c r="T15" i="16" s="1"/>
  <c r="V15" i="13"/>
  <c r="N14" i="9"/>
  <c r="X14" i="13"/>
  <c r="L8" i="6"/>
  <c r="R9" i="16" s="1"/>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M12" i="8" l="1"/>
  <c r="G12" i="8" s="1"/>
  <c r="K13" i="16" s="1"/>
  <c r="N30" i="2"/>
  <c r="L14" i="2"/>
  <c r="N15" i="16" s="1"/>
  <c r="I14" i="9"/>
  <c r="E15" i="13"/>
  <c r="C14" i="9"/>
  <c r="Z15" i="13"/>
  <c r="R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<sst xmlns="http://schemas.openxmlformats.org/spreadsheetml/2006/main" count="654" uniqueCount="141">
  <si>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</si>
  <si>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</si>
  <si>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</si>
  <si>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</si>
  <si>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</si>
  <si>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</si>
  <si>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</si>
  <si>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</si>
  <si>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</si>
  <si>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</si>
  <si>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</si>
  <si>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</si>
  <si>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</si>
  <si>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</si>
  <si>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</si>
  <si>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</si>
  <si>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</si>
  <si>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</si>
  <si>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</si>
  <si>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</si>
  <si>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</si>
  <si>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</si>
  <si>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</si>
  <si>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</si>
  <si>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</si>
  <si>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</si>
  <si>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</si>
  <si>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</si>
  <si>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</si>
  <si>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</si>
  <si>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</si>
  <si>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</si>
  <si>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</si>
  <si>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</si>
  <si>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</si>
  <si>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</si>
  <si>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</si>
  <si>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</si>
  <si>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</si>
  <si>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</si>
  <si>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</si>
  <si>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</si>
  <si>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</si>
  <si>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</si>
  <si>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</si>
  <si>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</si>
  <si>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</si>
  <si>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</si>
  <si>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</si>
  <si>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</si>
  <si>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</si>
  <si>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</si>
  <si>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</si>
  <si>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</si>
  <si>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</si>
  <si>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</si>
  <si>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</si>
  <si>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</si>
  <si>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</si>
  <si>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</si>
  <si>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</si>
  <si>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</si>
  <si>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</si>
  <si>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</si>
  <si>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</si>
  <si>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</si>
  <si>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</si>
  <si>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</si>
  <si>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</si>
  <si>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</si>
  <si>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</si>
  <si>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</si>
  <si>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</si>
  <si>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</si>
  <si>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</si>
  <si>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</si>
  <si>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</si>
  <si>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</si>
  <si>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</si>
  <si>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</si>
  <si>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</si>
  <si>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</si>
  <si>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</si>
  <si>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</si>
  <si>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</si>
  <si>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</si>
  <si>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</si>
  <si>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</si>
  <si>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</si>
  <si>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</si>
  <si>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</si>
  <si>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</si>
  <si>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</si>
  <si>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</si>
  <si>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</si>
  <si>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</si>
  <si>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</si>
  <si>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</si>
  <si>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</si>
  <si>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</si>
  <si>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</si>
  <si>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</si>
  <si>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</si>
  <si>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</si>
  <si>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</si>
  <si>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</si>
  <si>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</si>
  <si>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</si>
  <si>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</si>
  <si>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</si>
  <si>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</si>
  <si>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</si>
  <si>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</si>
  <si>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</si>
  <si>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</si>
  <si>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</si>
  <si>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</si>
  <si>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</si>
  <si>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</si>
  <si>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</si>
  <si>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</si>
  <si>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</si>
  <si>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</si>
  <si>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</si>
  <si>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</si>
  <si>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</si>
  <si>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</si>
  <si>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</si>
  <si>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</si>
  <si>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</si>
  <si>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</si>
  <si>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</si>
  <si>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</si>
  <si>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</si>
  <si>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</si>
  <si>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</si>
  <si>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</si>
  <si>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Alpena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</si>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</sst>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Alpena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c:v>
                </c:pt>
                <c:pt idx="2">
                  <c:v>Delinquent Findings, total N=34</c:v>
                </c:pt>
                <c:pt idx="3">
                  <c:v>Petitions, total N=51</c:v>
                </c:pt>
                <c:pt idx="4">
                  <c:v>Detentions, total N=5</c:v>
                </c:pt>
                <c:pt idx="5">
                  <c:v>Referrals, total N=60</c:v>
                </c:pt>
                <c:pt idx="6">
                  <c:v>Arrests, total N=19</c:v>
                </c:pt>
                <c:pt idx="7">
                  <c:v>Population, total N=2128</c:v>
                </c:pt>
              </c:strCache>
            </c:strRef>
          </c:cat>
          <c:val>
            <c:numRef>
              <c:f>'Stacked 100%'!$B$7:$B$14</c:f>
              <c:numCache>
                <c:formatCode>0%</c:formatCode>
                <c:ptCount val="8"/>
                <c:pt idx="0">
                  <c:v>0</c:v>
                </c:pt>
                <c:pt idx="1">
                  <c:v>0</c:v>
                </c:pt>
                <c:pt idx="2">
                  <c:v>0</c:v>
                </c:pt>
                <c:pt idx="3">
                  <c:v>1.9607843137254902E-2</c:v>
                </c:pt>
                <c:pt idx="4">
                  <c:v>0</c:v>
                </c:pt>
                <c:pt idx="5">
                  <c:v>1.6666666666666666E-2</c:v>
                </c:pt>
                <c:pt idx="6">
                  <c:v>0.10526315789473684</c:v>
                </c:pt>
                <c:pt idx="7">
                  <c:v>1.9736842105263157E-2</c:v>
                </c:pt>
              </c:numCache>
            </c:numRef>
          </c:val>
          <c:extLst>
            <c:ext xmlns:c16="http://schemas.microsoft.com/office/drawing/2014/chart" uri="{C3380CC4-5D6E-409C-BE32-E72D297353CC}">
              <c16:uniqueId val="{00000000-61F5-4BA0-983A-1B429DDA9DD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c:v>
                </c:pt>
                <c:pt idx="2">
                  <c:v>Delinquent Findings, total N=34</c:v>
                </c:pt>
                <c:pt idx="3">
                  <c:v>Petitions, total N=51</c:v>
                </c:pt>
                <c:pt idx="4">
                  <c:v>Detentions, total N=5</c:v>
                </c:pt>
                <c:pt idx="5">
                  <c:v>Referrals, total N=60</c:v>
                </c:pt>
                <c:pt idx="6">
                  <c:v>Arrests, total N=19</c:v>
                </c:pt>
                <c:pt idx="7">
                  <c:v>Population, total N=2128</c:v>
                </c:pt>
              </c:strCache>
            </c:strRef>
          </c:cat>
          <c:val>
            <c:numRef>
              <c:f>'Stacked 100%'!$C$7:$C$14</c:f>
              <c:numCache>
                <c:formatCode>0%</c:formatCode>
                <c:ptCount val="8"/>
                <c:pt idx="0">
                  <c:v>0</c:v>
                </c:pt>
                <c:pt idx="1">
                  <c:v>0</c:v>
                </c:pt>
                <c:pt idx="2">
                  <c:v>0</c:v>
                </c:pt>
                <c:pt idx="3">
                  <c:v>0</c:v>
                </c:pt>
                <c:pt idx="4">
                  <c:v>0</c:v>
                </c:pt>
                <c:pt idx="5">
                  <c:v>0</c:v>
                </c:pt>
                <c:pt idx="6">
                  <c:v>0</c:v>
                </c:pt>
                <c:pt idx="7">
                  <c:v>2.1616541353383457E-2</c:v>
                </c:pt>
              </c:numCache>
            </c:numRef>
          </c:val>
          <c:extLst>
            <c:ext xmlns:c16="http://schemas.microsoft.com/office/drawing/2014/chart" uri="{C3380CC4-5D6E-409C-BE32-E72D297353CC}">
              <c16:uniqueId val="{00000001-61F5-4BA0-983A-1B429DDA9DD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N=6</c:v>
                </c:pt>
                <c:pt idx="2">
                  <c:v>Delinquent Findings, total N=34</c:v>
                </c:pt>
                <c:pt idx="3">
                  <c:v>Petitions, total N=51</c:v>
                </c:pt>
                <c:pt idx="4">
                  <c:v>Detentions, total N=5</c:v>
                </c:pt>
                <c:pt idx="5">
                  <c:v>Referrals, total N=60</c:v>
                </c:pt>
                <c:pt idx="6">
                  <c:v>Arrests, total N=19</c:v>
                </c:pt>
                <c:pt idx="7">
                  <c:v>Population, total N=2128</c:v>
                </c:pt>
              </c:strCache>
            </c:strRef>
          </c:cat>
          <c:val>
            <c:numRef>
              <c:f>'Stacked 100%'!$H$7:$H$14</c:f>
              <c:numCache>
                <c:formatCode>0%</c:formatCode>
                <c:ptCount val="8"/>
                <c:pt idx="0">
                  <c:v>0</c:v>
                </c:pt>
                <c:pt idx="1">
                  <c:v>0</c:v>
                </c:pt>
                <c:pt idx="2">
                  <c:v>0</c:v>
                </c:pt>
                <c:pt idx="3">
                  <c:v>0</c:v>
                </c:pt>
                <c:pt idx="4">
                  <c:v>0</c:v>
                </c:pt>
                <c:pt idx="5">
                  <c:v>0</c:v>
                </c:pt>
                <c:pt idx="6">
                  <c:v>0</c:v>
                </c:pt>
                <c:pt idx="7">
                  <c:v>8.833173158460059E-6</c:v>
                </c:pt>
              </c:numCache>
            </c:numRef>
          </c:val>
          <c:extLst>
            <c:ext xmlns:c16="http://schemas.microsoft.com/office/drawing/2014/chart" uri="{C3380CC4-5D6E-409C-BE32-E72D297353CC}">
              <c16:uniqueId val="{00000002-61F5-4BA0-983A-1B429DDA9DD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c:v>
                </c:pt>
                <c:pt idx="2">
                  <c:v>Delinquent Findings, total N=34</c:v>
                </c:pt>
                <c:pt idx="3">
                  <c:v>Petitions, total N=51</c:v>
                </c:pt>
                <c:pt idx="4">
                  <c:v>Detentions, total N=5</c:v>
                </c:pt>
                <c:pt idx="5">
                  <c:v>Referrals, total N=60</c:v>
                </c:pt>
                <c:pt idx="6">
                  <c:v>Arrests, total N=19</c:v>
                </c:pt>
                <c:pt idx="7">
                  <c:v>Population, total N=2128</c:v>
                </c:pt>
              </c:strCache>
            </c:strRef>
          </c:cat>
          <c:val>
            <c:numRef>
              <c:f>'Stacked 100%'!$I$7:$I$14</c:f>
              <c:numCache>
                <c:formatCode>0%</c:formatCode>
                <c:ptCount val="8"/>
                <c:pt idx="0">
                  <c:v>0</c:v>
                </c:pt>
                <c:pt idx="1">
                  <c:v>0.5</c:v>
                </c:pt>
                <c:pt idx="2">
                  <c:v>0.5</c:v>
                </c:pt>
                <c:pt idx="3">
                  <c:v>0.5490196078431373</c:v>
                </c:pt>
                <c:pt idx="4">
                  <c:v>0.4</c:v>
                </c:pt>
                <c:pt idx="5">
                  <c:v>0.55000000000000004</c:v>
                </c:pt>
                <c:pt idx="6">
                  <c:v>0.89473684210526316</c:v>
                </c:pt>
                <c:pt idx="7">
                  <c:v>0.93984962406015038</c:v>
                </c:pt>
              </c:numCache>
            </c:numRef>
          </c:val>
          <c:extLst>
            <c:ext xmlns:c16="http://schemas.microsoft.com/office/drawing/2014/chart" uri="{C3380CC4-5D6E-409C-BE32-E72D297353CC}">
              <c16:uniqueId val="{00000003-61F5-4BA0-983A-1B429DDA9DD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N=6</c:v>
                </c:pt>
                <c:pt idx="2">
                  <c:v>Delinquent Findings, total N=34</c:v>
                </c:pt>
                <c:pt idx="3">
                  <c:v>Petitions, total N=51</c:v>
                </c:pt>
                <c:pt idx="4">
                  <c:v>Detentions, total N=5</c:v>
                </c:pt>
                <c:pt idx="5">
                  <c:v>Referrals, total N=60</c:v>
                </c:pt>
                <c:pt idx="6">
                  <c:v>Arrests, total N=19</c:v>
                </c:pt>
                <c:pt idx="7">
                  <c:v>Population, total N=2128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1F5-4BA0-983A-1B429DDA9DD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5" sqref="K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2128</v>
      </c>
      <c r="C6" s="11">
        <v>2000</v>
      </c>
      <c r="D6" s="11">
        <v>42</v>
      </c>
      <c r="E6" s="11">
        <v>46</v>
      </c>
      <c r="F6" s="11">
        <v>14</v>
      </c>
      <c r="G6" s="11"/>
      <c r="H6" s="11">
        <v>26</v>
      </c>
      <c r="I6" s="11"/>
      <c r="J6" s="91">
        <f>SUM(D6:I6)</f>
        <v>128</v>
      </c>
      <c r="K6" s="92"/>
    </row>
    <row r="7" spans="1:11" ht="15.75" customHeight="1" thickBot="1" x14ac:dyDescent="0.25">
      <c r="A7" s="10" t="s">
        <v>8</v>
      </c>
      <c r="B7" s="11">
        <f t="shared" ref="B7:B15" si="0">SUM(C7:I7)+K7</f>
        <v>19</v>
      </c>
      <c r="C7" s="11">
        <v>17</v>
      </c>
      <c r="D7" s="11">
        <v>2</v>
      </c>
      <c r="E7" s="11"/>
      <c r="F7" s="11"/>
      <c r="G7" s="11"/>
      <c r="H7" s="11"/>
      <c r="I7" s="11"/>
      <c r="J7" s="91">
        <f t="shared" ref="J7:J15" si="1">SUM(D7:I7)</f>
        <v>2</v>
      </c>
      <c r="K7" s="92"/>
    </row>
    <row r="8" spans="1:11" ht="15.75" customHeight="1" thickBot="1" x14ac:dyDescent="0.25">
      <c r="A8" s="10" t="s">
        <v>9</v>
      </c>
      <c r="B8" s="11">
        <f t="shared" si="0"/>
        <v>60</v>
      </c>
      <c r="C8" s="11">
        <v>33</v>
      </c>
      <c r="D8" s="11">
        <v>1</v>
      </c>
      <c r="E8" s="11"/>
      <c r="F8" s="11"/>
      <c r="G8" s="11"/>
      <c r="H8" s="11"/>
      <c r="I8" s="11"/>
      <c r="J8" s="91">
        <f t="shared" si="1"/>
        <v>1</v>
      </c>
      <c r="K8" s="92">
        <v>26</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5</v>
      </c>
      <c r="C10" s="11">
        <v>2</v>
      </c>
      <c r="D10" s="11"/>
      <c r="E10" s="11"/>
      <c r="F10" s="11"/>
      <c r="G10" s="11"/>
      <c r="H10" s="11"/>
      <c r="I10" s="11"/>
      <c r="J10" s="91">
        <f t="shared" si="1"/>
        <v>0</v>
      </c>
      <c r="K10" s="92">
        <v>3</v>
      </c>
    </row>
    <row r="11" spans="1:11" ht="15.75" customHeight="1" thickBot="1" x14ac:dyDescent="0.25">
      <c r="A11" s="10" t="s">
        <v>12</v>
      </c>
      <c r="B11" s="11">
        <f t="shared" si="0"/>
        <v>51</v>
      </c>
      <c r="C11" s="11">
        <v>28</v>
      </c>
      <c r="D11" s="11">
        <v>1</v>
      </c>
      <c r="E11" s="11"/>
      <c r="F11" s="11"/>
      <c r="G11" s="11"/>
      <c r="H11" s="11"/>
      <c r="I11" s="11"/>
      <c r="J11" s="91">
        <f t="shared" si="1"/>
        <v>1</v>
      </c>
      <c r="K11" s="92">
        <v>22</v>
      </c>
    </row>
    <row r="12" spans="1:11" ht="15.75" customHeight="1" thickBot="1" x14ac:dyDescent="0.25">
      <c r="A12" s="10" t="s">
        <v>13</v>
      </c>
      <c r="B12" s="11">
        <f t="shared" si="0"/>
        <v>34</v>
      </c>
      <c r="C12" s="11">
        <v>17</v>
      </c>
      <c r="D12" s="11"/>
      <c r="E12" s="11"/>
      <c r="F12" s="11"/>
      <c r="G12" s="11"/>
      <c r="H12" s="11"/>
      <c r="I12" s="11"/>
      <c r="J12" s="91">
        <f t="shared" si="1"/>
        <v>0</v>
      </c>
      <c r="K12" s="92">
        <v>17</v>
      </c>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6</v>
      </c>
      <c r="C14" s="11">
        <v>3</v>
      </c>
      <c r="D14" s="11"/>
      <c r="E14" s="11"/>
      <c r="F14" s="11"/>
      <c r="G14" s="11"/>
      <c r="H14" s="11"/>
      <c r="I14" s="11"/>
      <c r="J14" s="91">
        <f t="shared" si="1"/>
        <v>0</v>
      </c>
      <c r="K14" s="92">
        <v>3</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Alpena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2000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17</v>
      </c>
      <c r="D7" s="34">
        <f>IF((AND(C66&gt;0,C7&gt;0)),(C7/C66),0)</f>
        <v>8.5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1983</v>
      </c>
      <c r="R7" s="42">
        <f t="shared" ref="R7:R15" si="5">SUM(N7:Q7)</f>
        <v>2000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33</v>
      </c>
      <c r="D8" s="34">
        <f>IF((AND(C67&gt;0,C8&gt;0)),(C8/C67),0)</f>
        <v>194.11764705882351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33</v>
      </c>
      <c r="Q8" s="42">
        <f>(C$67*L67)-C8</f>
        <v>-16</v>
      </c>
      <c r="R8" s="42">
        <f t="shared" si="5"/>
        <v>17.049999999999997</v>
      </c>
      <c r="S8" s="30">
        <f t="shared" si="6"/>
        <v>46.418625000000006</v>
      </c>
      <c r="T8" s="30">
        <f t="shared" si="7"/>
        <v>-447.39750000000004</v>
      </c>
      <c r="U8" s="31">
        <f t="shared" si="8"/>
        <v>-0.10375253549695741</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v>
      </c>
      <c r="R9" s="42">
        <f t="shared" si="5"/>
        <v>33</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6.0606060606060606</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31</v>
      </c>
      <c r="R10" s="42">
        <f t="shared" si="5"/>
        <v>33</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84.848484848484844</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5</v>
      </c>
      <c r="R11" s="42">
        <f t="shared" si="5"/>
        <v>33</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60.714285714285708</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11.000000000000004</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v>
      </c>
      <c r="D42" s="56">
        <f>E6/1000</f>
        <v>0</v>
      </c>
      <c r="E42" s="56">
        <f>MAX(C42:D42)</f>
        <v>2</v>
      </c>
      <c r="G42" s="1" t="str">
        <f>B42</f>
        <v>per 1000 youth</v>
      </c>
      <c r="L42" s="57">
        <v>1000</v>
      </c>
      <c r="M42" s="57"/>
      <c r="R42" s="49"/>
    </row>
    <row r="43" spans="2:18" ht="15" hidden="1" customHeight="1" x14ac:dyDescent="0.25">
      <c r="B43" s="49" t="s">
        <v>87</v>
      </c>
      <c r="C43" s="56">
        <f>C7/100</f>
        <v>0.17</v>
      </c>
      <c r="D43" s="56">
        <f>E7/100</f>
        <v>0</v>
      </c>
      <c r="E43" s="56">
        <f>MAX(C43:D43,0)</f>
        <v>0.17</v>
      </c>
      <c r="G43" s="1" t="str">
        <f>B43</f>
        <v>per 100 arrests</v>
      </c>
      <c r="L43" s="57">
        <v>100</v>
      </c>
      <c r="M43" s="57"/>
      <c r="R43" s="49"/>
    </row>
    <row r="44" spans="2:18" ht="15" hidden="1" customHeight="1" x14ac:dyDescent="0.25">
      <c r="B44" s="49" t="s">
        <v>88</v>
      </c>
      <c r="C44" s="56">
        <f>C8/100</f>
        <v>0.33</v>
      </c>
      <c r="D44" s="56">
        <f>E8/100</f>
        <v>0</v>
      </c>
      <c r="E44" s="56">
        <f>MAX(C44:D44,0)</f>
        <v>0.33</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v>
      </c>
      <c r="D48" s="56">
        <f>D42</f>
        <v>0</v>
      </c>
      <c r="E48" s="56">
        <f>MAX(C48:D48)</f>
        <v>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v>
      </c>
      <c r="D54" s="56">
        <f>D48</f>
        <v>0</v>
      </c>
      <c r="E54" s="56">
        <f>MAX(C54:D54)</f>
        <v>2</v>
      </c>
      <c r="G54" s="1" t="str">
        <f>G48</f>
        <v>per 1000 youth</v>
      </c>
      <c r="L54" s="58">
        <f>L48</f>
        <v>1000</v>
      </c>
      <c r="M54" s="58"/>
    </row>
    <row r="55" spans="2:18" ht="15" hidden="1" customHeight="1" x14ac:dyDescent="0.25">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x14ac:dyDescent="0.25">
      <c r="B56" s="49" t="str">
        <f t="shared" si="10"/>
        <v>per 100 referrals</v>
      </c>
      <c r="C56" s="49">
        <f t="shared" si="10"/>
        <v>0.33</v>
      </c>
      <c r="D56" s="49">
        <f t="shared" si="10"/>
        <v>0</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v>
      </c>
      <c r="D60" s="56">
        <f>D54</f>
        <v>0</v>
      </c>
      <c r="E60" s="56">
        <f>MAX(C60:D60)</f>
        <v>2</v>
      </c>
      <c r="G60" s="1" t="str">
        <f>G54</f>
        <v>per 1000 youth</v>
      </c>
      <c r="L60" s="58">
        <f>L54</f>
        <v>1000</v>
      </c>
      <c r="M60" s="58"/>
    </row>
    <row r="61" spans="2:18" ht="15" hidden="1" customHeight="1" x14ac:dyDescent="0.25">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x14ac:dyDescent="0.25">
      <c r="B62" s="49" t="str">
        <f t="shared" si="11"/>
        <v>per 100 referrals</v>
      </c>
      <c r="C62" s="49">
        <f t="shared" si="11"/>
        <v>0.33</v>
      </c>
      <c r="D62" s="49">
        <f t="shared" si="11"/>
        <v>0</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v>
      </c>
      <c r="D66" s="56">
        <f>D60</f>
        <v>0</v>
      </c>
      <c r="E66" s="56">
        <f>MAX(C66:D66)</f>
        <v>2</v>
      </c>
      <c r="G66" s="1" t="str">
        <f>G60</f>
        <v>per 1000 youth</v>
      </c>
      <c r="L66" s="58">
        <f>L60</f>
        <v>1000</v>
      </c>
      <c r="M66" s="58">
        <f>IF((B66=G66),1,2)</f>
        <v>1</v>
      </c>
    </row>
    <row r="67" spans="2:13" ht="15" hidden="1" customHeight="1" x14ac:dyDescent="0.25">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x14ac:dyDescent="0.25">
      <c r="B68" s="49" t="str">
        <f t="shared" si="12"/>
        <v>per 100 referrals</v>
      </c>
      <c r="C68" s="49">
        <f t="shared" si="12"/>
        <v>0.33</v>
      </c>
      <c r="D68" s="49">
        <f t="shared" si="12"/>
        <v>0</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Alpena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2000</v>
      </c>
      <c r="D6" s="34"/>
      <c r="E6" s="33">
        <f>'Data Entry'!J6</f>
        <v>128</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17</v>
      </c>
      <c r="D7" s="34">
        <f>IF((AND(C66&gt;0,C7&gt;0)),(C7/C66),0)</f>
        <v>8.5</v>
      </c>
      <c r="E7" s="33">
        <f>'Data Entry'!J7</f>
        <v>2</v>
      </c>
      <c r="F7" s="34">
        <f>IF((AND($E$7&gt;0,$D$66&gt;0)),($E$7/$D$66),0)</f>
        <v>15.625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126</v>
      </c>
      <c r="P7" s="42">
        <f t="shared" ref="P7:P15" si="4">C7</f>
        <v>17</v>
      </c>
      <c r="Q7" s="42">
        <f>C6-C7</f>
        <v>1983</v>
      </c>
      <c r="R7" s="42">
        <f t="shared" ref="R7:R15" si="5">SUM(N7:Q7)</f>
        <v>2128</v>
      </c>
      <c r="S7" s="30">
        <f t="shared" ref="S7:S15" si="6">R7*((((N7*Q7)-(O7*P7))^2))</f>
        <v>7079804928</v>
      </c>
      <c r="T7" s="30">
        <f t="shared" ref="T7:T15" si="7">(N7+O7)*(P7+Q7)*(N7+P7)*(O7+Q7)</f>
        <v>10258176000</v>
      </c>
      <c r="U7" s="31">
        <f t="shared" ref="U7:U15" si="8">IF((S7&gt;0),S7/T7,"- -")</f>
        <v>0.6901621621621622</v>
      </c>
    </row>
    <row r="8" spans="2:21" ht="18" customHeight="1" x14ac:dyDescent="0.25">
      <c r="B8" s="32" t="str">
        <f>'Data Entry'!A8</f>
        <v>3. Refer to Juvenile Court</v>
      </c>
      <c r="C8" s="33">
        <f>'Data Entry'!C8</f>
        <v>33</v>
      </c>
      <c r="D8" s="34">
        <f>IF((AND(C67&gt;0,C8&gt;0)),(C8/C67),0)</f>
        <v>194.11764705882351</v>
      </c>
      <c r="E8" s="33">
        <f>'Data Entry'!J8</f>
        <v>1</v>
      </c>
      <c r="F8" s="34">
        <f>IF((AND($E$8&gt;0,$D$67&gt;0)),($E8/$D67),0)</f>
        <v>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1.05</v>
      </c>
      <c r="P8" s="42">
        <f t="shared" si="4"/>
        <v>33</v>
      </c>
      <c r="Q8" s="42">
        <f>(C$67*L67)-C8</f>
        <v>-16</v>
      </c>
      <c r="R8" s="42">
        <f t="shared" si="5"/>
        <v>19.049999999999997</v>
      </c>
      <c r="S8" s="30">
        <f t="shared" si="6"/>
        <v>48871.298624999989</v>
      </c>
      <c r="T8" s="30">
        <f t="shared" si="7"/>
        <v>-17714.254999999997</v>
      </c>
      <c r="U8" s="31">
        <f t="shared" si="8"/>
        <v>-2.7588684155783008</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33</v>
      </c>
      <c r="R9" s="42">
        <f t="shared" si="5"/>
        <v>34</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6.0606060606060606</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2</v>
      </c>
      <c r="Q10" s="42">
        <f>(C$68*L68)-C10</f>
        <v>31</v>
      </c>
      <c r="R10" s="42">
        <f t="shared" si="5"/>
        <v>34</v>
      </c>
      <c r="S10" s="30">
        <f t="shared" si="6"/>
        <v>136</v>
      </c>
      <c r="T10" s="30">
        <f t="shared" si="7"/>
        <v>2112</v>
      </c>
      <c r="U10" s="31">
        <f t="shared" si="8"/>
        <v>6.4393939393939392E-2</v>
      </c>
    </row>
    <row r="11" spans="2:21" ht="18" customHeight="1" x14ac:dyDescent="0.25">
      <c r="B11" s="32" t="str">
        <f>'Data Entry'!A11</f>
        <v>6. Cases Petitioned (Charge Filed)</v>
      </c>
      <c r="C11" s="33">
        <f>'Data Entry'!C11</f>
        <v>28</v>
      </c>
      <c r="D11" s="34">
        <f>IF(((AND(C68&gt;0,C11&gt;0))),(C11/(C68)),0)</f>
        <v>84.848484848484844</v>
      </c>
      <c r="E11" s="33">
        <f>'Data Entry'!J11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28</v>
      </c>
      <c r="Q11" s="42">
        <f>(C$68*L68)-C11</f>
        <v>5</v>
      </c>
      <c r="R11" s="42">
        <f t="shared" si="5"/>
        <v>34</v>
      </c>
      <c r="S11" s="30">
        <f t="shared" si="6"/>
        <v>850</v>
      </c>
      <c r="T11" s="30">
        <f t="shared" si="7"/>
        <v>4785</v>
      </c>
      <c r="U11" s="31">
        <f t="shared" si="8"/>
        <v>0.17763845350052246</v>
      </c>
    </row>
    <row r="12" spans="2:21" ht="18" customHeight="1" x14ac:dyDescent="0.25">
      <c r="B12" s="32" t="str">
        <f>'Data Entry'!A12</f>
        <v>7. Cases Resulting in Delinquent Findings</v>
      </c>
      <c r="C12" s="33">
        <f>'Data Entry'!C12</f>
        <v>17</v>
      </c>
      <c r="D12" s="34">
        <f>IF(((AND(C69&gt;0,C12&gt;0))),(C12/(C69)),0)</f>
        <v>60.714285714285708</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17</v>
      </c>
      <c r="Q12" s="42">
        <f>(C69*L69)-C12</f>
        <v>11.000000000000004</v>
      </c>
      <c r="R12" s="42">
        <f t="shared" si="5"/>
        <v>29.000000000000004</v>
      </c>
      <c r="S12" s="30">
        <f t="shared" si="6"/>
        <v>8381.0000000000018</v>
      </c>
      <c r="T12" s="30">
        <f t="shared" si="7"/>
        <v>5712.0000000000027</v>
      </c>
      <c r="U12" s="31">
        <f t="shared" si="8"/>
        <v>1.4672619047619044</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28.000000000000004</v>
      </c>
      <c r="R15" s="42">
        <f t="shared" si="5"/>
        <v>29.000000000000004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v>
      </c>
      <c r="D42" s="56">
        <f>E6/1000</f>
        <v>0.128</v>
      </c>
      <c r="E42" s="56">
        <f>MAX(C42:D42)</f>
        <v>2</v>
      </c>
      <c r="G42" s="1" t="str">
        <f>B42</f>
        <v>per 1000 youth</v>
      </c>
      <c r="L42" s="57">
        <v>1000</v>
      </c>
      <c r="M42" s="57"/>
      <c r="R42" s="49"/>
    </row>
    <row r="43" spans="2:18" ht="15" hidden="1" customHeight="1" x14ac:dyDescent="0.25">
      <c r="B43" s="49" t="s">
        <v>87</v>
      </c>
      <c r="C43" s="56">
        <f>C7/100</f>
        <v>0.17</v>
      </c>
      <c r="D43" s="56">
        <f>E7/100</f>
        <v>0.02</v>
      </c>
      <c r="E43" s="56">
        <f>MAX(C43:D43,0)</f>
        <v>0.17</v>
      </c>
      <c r="G43" s="1" t="str">
        <f>B43</f>
        <v>per 100 arrests</v>
      </c>
      <c r="L43" s="57">
        <v>100</v>
      </c>
      <c r="M43" s="57"/>
      <c r="R43" s="49"/>
    </row>
    <row r="44" spans="2:18" ht="15" hidden="1" customHeight="1" x14ac:dyDescent="0.25">
      <c r="B44" s="49" t="s">
        <v>88</v>
      </c>
      <c r="C44" s="56">
        <f>C8/100</f>
        <v>0.33</v>
      </c>
      <c r="D44" s="56">
        <f>E8/100</f>
        <v>0.01</v>
      </c>
      <c r="E44" s="56">
        <f>MAX(C44:D44,0)</f>
        <v>0.33</v>
      </c>
      <c r="G44" s="1" t="str">
        <f>B44</f>
        <v>per 100 referrals</v>
      </c>
      <c r="L44" s="57">
        <v>100</v>
      </c>
      <c r="M44" s="57"/>
      <c r="R44" s="49"/>
    </row>
    <row r="45" spans="2:18" ht="15" hidden="1" customHeight="1" x14ac:dyDescent="0.25">
      <c r="B45" s="49" t="s">
        <v>89</v>
      </c>
      <c r="C45" s="49">
        <f>C11/100</f>
        <v>0.28000000000000003</v>
      </c>
      <c r="D45" s="49">
        <f>E11/100</f>
        <v>0.01</v>
      </c>
      <c r="E45" s="56">
        <f>MAX(C45:D45,0)</f>
        <v>0.28000000000000003</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v>
      </c>
      <c r="D48" s="56">
        <f>D42</f>
        <v>0.128</v>
      </c>
      <c r="E48" s="56">
        <f>MAX(C48:D48)</f>
        <v>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0.17</v>
      </c>
      <c r="D49" s="49">
        <f t="shared" si="9"/>
        <v>0.02</v>
      </c>
      <c r="E49" s="49">
        <f>MAX(C49:D49)</f>
        <v>0.17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0.33</v>
      </c>
      <c r="D50" s="49">
        <f t="shared" si="9"/>
        <v>0.01</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0.01</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v>
      </c>
      <c r="D54" s="56">
        <f>D48</f>
        <v>0.128</v>
      </c>
      <c r="E54" s="56">
        <f>MAX(C54:D54)</f>
        <v>2</v>
      </c>
      <c r="G54" s="1" t="str">
        <f>G48</f>
        <v>per 1000 youth</v>
      </c>
      <c r="L54" s="58">
        <f>L48</f>
        <v>1000</v>
      </c>
      <c r="M54" s="58"/>
    </row>
    <row r="55" spans="2:18" ht="15" hidden="1" customHeight="1" x14ac:dyDescent="0.25">
      <c r="B55" s="49" t="str">
        <f t="shared" ref="B55:D56" si="10">IF(($E49&gt;0),B49,B48)</f>
        <v>per 100 arrests</v>
      </c>
      <c r="C55" s="49">
        <f t="shared" si="10"/>
        <v>0.17</v>
      </c>
      <c r="D55" s="49">
        <f t="shared" si="10"/>
        <v>0.02</v>
      </c>
      <c r="E55" s="49">
        <f>MAX(C55:D55)</f>
        <v>0.17</v>
      </c>
      <c r="G55" s="1" t="str">
        <f>G49</f>
        <v>per 100 arrests</v>
      </c>
      <c r="L55" s="58">
        <f>IF(($E49&gt;0),L49,L48)</f>
        <v>100</v>
      </c>
      <c r="M55" s="58"/>
    </row>
    <row r="56" spans="2:18" ht="15" hidden="1" customHeight="1" x14ac:dyDescent="0.25">
      <c r="B56" s="49" t="str">
        <f t="shared" si="10"/>
        <v>per 100 referrals</v>
      </c>
      <c r="C56" s="49">
        <f t="shared" si="10"/>
        <v>0.33</v>
      </c>
      <c r="D56" s="49">
        <f t="shared" si="10"/>
        <v>0.01</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0.01</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v>
      </c>
      <c r="D60" s="56">
        <f>D54</f>
        <v>0.128</v>
      </c>
      <c r="E60" s="56">
        <f>MAX(C60:D60)</f>
        <v>2</v>
      </c>
      <c r="G60" s="1" t="str">
        <f>G54</f>
        <v>per 1000 youth</v>
      </c>
      <c r="L60" s="58">
        <f>L54</f>
        <v>1000</v>
      </c>
      <c r="M60" s="58"/>
    </row>
    <row r="61" spans="2:18" ht="15" hidden="1" customHeight="1" x14ac:dyDescent="0.25">
      <c r="B61" s="49" t="str">
        <f t="shared" ref="B61:D62" si="11">IF(($E55&gt;0),B55,B54)</f>
        <v>per 100 arrests</v>
      </c>
      <c r="C61" s="49">
        <f t="shared" si="11"/>
        <v>0.17</v>
      </c>
      <c r="D61" s="49">
        <f t="shared" si="11"/>
        <v>0.02</v>
      </c>
      <c r="E61" s="49">
        <f>MAX(C61:D61)</f>
        <v>0.17</v>
      </c>
      <c r="G61" s="1" t="str">
        <f>G55</f>
        <v>per 100 arrests</v>
      </c>
      <c r="L61" s="58">
        <f>IF(($E55&gt;0),L55,L54)</f>
        <v>100</v>
      </c>
      <c r="M61" s="58"/>
    </row>
    <row r="62" spans="2:18" ht="15" hidden="1" customHeight="1" x14ac:dyDescent="0.25">
      <c r="B62" s="49" t="str">
        <f t="shared" si="11"/>
        <v>per 100 referrals</v>
      </c>
      <c r="C62" s="49">
        <f t="shared" si="11"/>
        <v>0.33</v>
      </c>
      <c r="D62" s="49">
        <f t="shared" si="11"/>
        <v>0.01</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0.01</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v>
      </c>
      <c r="D66" s="56">
        <f>D60</f>
        <v>0.128</v>
      </c>
      <c r="E66" s="56">
        <f>MAX(C66:D66)</f>
        <v>2</v>
      </c>
      <c r="G66" s="1" t="str">
        <f>G60</f>
        <v>per 1000 youth</v>
      </c>
      <c r="L66" s="58">
        <f>L60</f>
        <v>1000</v>
      </c>
      <c r="M66" s="58">
        <f>IF((B66=G66),1,2)</f>
        <v>1</v>
      </c>
    </row>
    <row r="67" spans="2:13" ht="15" hidden="1" customHeight="1" x14ac:dyDescent="0.25">
      <c r="B67" s="49" t="str">
        <f t="shared" ref="B67:D68" si="12">IF(($E61&gt;0),B61,B60)</f>
        <v>per 100 arrests</v>
      </c>
      <c r="C67" s="49">
        <f t="shared" si="12"/>
        <v>0.17</v>
      </c>
      <c r="D67" s="49">
        <f t="shared" si="12"/>
        <v>0.02</v>
      </c>
      <c r="E67" s="49">
        <f>MAX(C67:D67)</f>
        <v>0.17</v>
      </c>
      <c r="G67" s="1" t="str">
        <f>G61</f>
        <v>per 100 arrests</v>
      </c>
      <c r="L67" s="58">
        <f>IF(($E61&gt;0),L61,L60)</f>
        <v>100</v>
      </c>
      <c r="M67" s="58">
        <f>IF((B67=G67),1,2)</f>
        <v>1</v>
      </c>
    </row>
    <row r="68" spans="2:13" ht="15" hidden="1" customHeight="1" x14ac:dyDescent="0.25">
      <c r="B68" s="49" t="str">
        <f t="shared" si="12"/>
        <v>per 100 referrals</v>
      </c>
      <c r="C68" s="49">
        <f t="shared" si="12"/>
        <v>0.33</v>
      </c>
      <c r="D68" s="49">
        <f t="shared" si="12"/>
        <v>0.01</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0.01</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Alpena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2128</v>
      </c>
      <c r="D3" s="57">
        <f>'Data Entry'!C6</f>
        <v>2000</v>
      </c>
      <c r="E3" s="57">
        <f>'Data Entry'!D6</f>
        <v>42</v>
      </c>
      <c r="F3" s="57">
        <f>'Data Entry'!E6</f>
        <v>46</v>
      </c>
      <c r="G3" s="57">
        <f>'Data Entry'!F6</f>
        <v>14</v>
      </c>
      <c r="H3" s="57">
        <f>'Data Entry'!G6</f>
        <v>0</v>
      </c>
      <c r="I3" s="57">
        <f>'Data Entry'!H6</f>
        <v>26</v>
      </c>
      <c r="J3" s="57">
        <f>'Data Entry'!I6</f>
        <v>0</v>
      </c>
      <c r="K3" s="57">
        <f>'Data Entry'!J6</f>
        <v>128</v>
      </c>
    </row>
    <row r="4" spans="2:11" ht="15" customHeight="1" x14ac:dyDescent="0.25">
      <c r="B4" s="16" t="s">
        <v>8</v>
      </c>
      <c r="C4" s="1">
        <f>IF((C$3&gt;0),(1000*('Data Entry'!B7/'Data Entry'!B$6)), 0)</f>
        <v>8.9285714285714288</v>
      </c>
      <c r="D4" s="1">
        <f>IF((D$3&gt;0),(1000*('Data Entry'!C7/'Data Entry'!C$6)), 0)</f>
        <v>8.5</v>
      </c>
      <c r="E4" s="1">
        <f>IF((E$3&gt;0),(1000*('Data Entry'!D7/'Data Entry'!D$6)), 0)</f>
        <v>47.619047619047613</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15.625</v>
      </c>
    </row>
    <row r="5" spans="2:11" ht="15" customHeight="1" x14ac:dyDescent="0.25">
      <c r="B5" s="16" t="s">
        <v>9</v>
      </c>
      <c r="C5" s="1">
        <f>IF((C$3&gt;0),(1000*('Data Entry'!B8/'Data Entry'!B$6)), 0)</f>
        <v>28.195488721804509</v>
      </c>
      <c r="D5" s="1">
        <f>IF((D$3&gt;0),(1000*('Data Entry'!C8/'Data Entry'!C$6)), 0)</f>
        <v>16.5</v>
      </c>
      <c r="E5" s="1">
        <f>IF((E$3&gt;0),(1000*('Data Entry'!D8/'Data Entry'!D$6)), 0)</f>
        <v>23.809523809523807</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7.8125</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2.3496240601503757</v>
      </c>
      <c r="D7" s="1">
        <f>IF((D$3&gt;0),(1000*('Data Entry'!C10/'Data Entry'!C$6)), 0)</f>
        <v>1</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23.966165413533833</v>
      </c>
      <c r="D8" s="1">
        <f>IF((D$3&gt;0),(1000*('Data Entry'!C11/'Data Entry'!C$6)), 0)</f>
        <v>14</v>
      </c>
      <c r="E8" s="1">
        <f>IF((E$3&gt;0),(1000*('Data Entry'!D11/'Data Entry'!D$6)), 0)</f>
        <v>23.809523809523807</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7.8125</v>
      </c>
    </row>
    <row r="9" spans="2:11" ht="15" customHeight="1" x14ac:dyDescent="0.25">
      <c r="B9" s="16" t="s">
        <v>13</v>
      </c>
      <c r="C9" s="1">
        <f>IF((C$3&gt;0),(1000*('Data Entry'!B12/'Data Entry'!B$6)), 0)</f>
        <v>15.977443609022556</v>
      </c>
      <c r="D9" s="1">
        <f>IF((D$3&gt;0),(1000*('Data Entry'!C12/'Data Entry'!C$6)), 0)</f>
        <v>8.5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2.8195488721804511</v>
      </c>
      <c r="D11" s="1">
        <f>IF((D$3&gt;0),(1000*('Data Entry'!C14/'Data Entry'!C$6)), 0)</f>
        <v>1.5</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Alpena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5.6022408963585431</v>
      </c>
      <c r="E19" s="72" t="str">
        <f t="shared" si="1"/>
        <v>--</v>
      </c>
      <c r="F19" s="72" t="str">
        <f t="shared" si="1"/>
        <v>--</v>
      </c>
      <c r="G19" s="72" t="str">
        <f t="shared" si="1"/>
        <v>--</v>
      </c>
      <c r="H19" s="72" t="str">
        <f t="shared" si="1"/>
        <v>--</v>
      </c>
      <c r="I19" s="72" t="str">
        <f t="shared" si="1"/>
        <v>--</v>
      </c>
      <c r="J19" s="73">
        <f t="shared" si="1"/>
        <v>1.838235294117647</v>
      </c>
    </row>
    <row r="20" spans="2:10" ht="15" customHeight="1" x14ac:dyDescent="0.25">
      <c r="B20" s="71" t="s">
        <v>9</v>
      </c>
      <c r="C20" s="72">
        <f t="shared" ref="C20:J27" si="2">IF(AND(($D5&gt;0),(D5&gt;0)), (D5/$D5),"--")</f>
        <v>1</v>
      </c>
      <c r="D20" s="72">
        <f t="shared" si="2"/>
        <v>1.4430014430014428</v>
      </c>
      <c r="E20" s="72" t="str">
        <f t="shared" si="2"/>
        <v>--</v>
      </c>
      <c r="F20" s="72" t="str">
        <f t="shared" si="2"/>
        <v>--</v>
      </c>
      <c r="G20" s="72" t="str">
        <f t="shared" si="2"/>
        <v>--</v>
      </c>
      <c r="H20" s="72" t="str">
        <f t="shared" si="2"/>
        <v>--</v>
      </c>
      <c r="I20" s="72" t="str">
        <f t="shared" si="2"/>
        <v>--</v>
      </c>
      <c r="J20" s="73">
        <f t="shared" si="2"/>
        <v>0.47348484848484851</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1.7006802721088434</v>
      </c>
      <c r="E23" s="72" t="str">
        <f t="shared" si="2"/>
        <v>--</v>
      </c>
      <c r="F23" s="72" t="str">
        <f t="shared" si="2"/>
        <v>--</v>
      </c>
      <c r="G23" s="72" t="str">
        <f t="shared" si="2"/>
        <v>--</v>
      </c>
      <c r="H23" s="72" t="str">
        <f t="shared" si="2"/>
        <v>--</v>
      </c>
      <c r="I23" s="72" t="str">
        <f t="shared" si="2"/>
        <v>--</v>
      </c>
      <c r="J23" s="73">
        <f t="shared" si="2"/>
        <v>0.5580357142857143</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Alpena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2000</v>
      </c>
      <c r="D7" s="105">
        <f>'Data Entry'!D6</f>
        <v>42</v>
      </c>
      <c r="E7" s="106"/>
      <c r="F7" s="107">
        <f>'Data Entry'!E6</f>
        <v>46</v>
      </c>
      <c r="G7" s="106"/>
      <c r="H7" s="107">
        <f>'Data Entry'!F6</f>
        <v>14</v>
      </c>
      <c r="I7" s="106"/>
      <c r="J7" s="107">
        <f>'Data Entry'!G6</f>
        <v>0</v>
      </c>
      <c r="K7" s="106"/>
      <c r="L7" s="107">
        <f>'Data Entry'!H6</f>
        <v>26</v>
      </c>
      <c r="M7" s="106"/>
      <c r="N7" s="107">
        <f>'Data Entry'!I6</f>
        <v>0</v>
      </c>
      <c r="O7" s="106"/>
      <c r="P7" s="107">
        <f>'Data Entry'!J6</f>
        <v>128</v>
      </c>
      <c r="Q7" s="108"/>
    </row>
    <row r="8" spans="2:26" s="1" customFormat="1" ht="15" customHeight="1" x14ac:dyDescent="0.3">
      <c r="B8" s="149" t="s">
        <v>8</v>
      </c>
      <c r="C8" s="104">
        <f>'Data Entry'!C7</f>
        <v>17</v>
      </c>
      <c r="D8" s="105">
        <f>'Data Entry'!D7</f>
        <v>2</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2</v>
      </c>
      <c r="Q8" s="108" t="str">
        <f>'All Minorities'!G7</f>
        <v>**</v>
      </c>
      <c r="R8"/>
      <c r="T8" s="1">
        <f>'Black or African-American'!L7</f>
        <v>20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33</v>
      </c>
      <c r="D9" s="109">
        <f>'Data Entry'!D8</f>
        <v>1</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1</v>
      </c>
      <c r="Q9" s="112"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2</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x14ac:dyDescent="0.3">
      <c r="B12" s="149" t="s">
        <v>95</v>
      </c>
      <c r="C12" s="104">
        <f>'Data Entry'!C11</f>
        <v>28</v>
      </c>
      <c r="D12" s="113">
        <f>'Data Entry'!D11</f>
        <v>1</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1</v>
      </c>
      <c r="Q12" s="116"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x14ac:dyDescent="0.3">
      <c r="B13" s="149" t="s">
        <v>13</v>
      </c>
      <c r="C13" s="104">
        <f>'Data Entry'!C12</f>
        <v>17</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Alpena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Alpena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15.625000000000002</v>
      </c>
    </row>
    <row r="8" spans="1:12" ht="25.5" customHeight="1" x14ac:dyDescent="0.2">
      <c r="A8" s="158" t="str">
        <f>CONCATENATE("Confinement, total N=", 'Data Entry'!B14)</f>
        <v>Confinement, total N=6</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0.5</v>
      </c>
      <c r="K8" s="97" t="str">
        <f>A8</f>
        <v>Confinement, total N=6</v>
      </c>
      <c r="L8">
        <f>I14/(SUM(B14:G14))</f>
        <v>15.625000000000002</v>
      </c>
    </row>
    <row r="9" spans="1:12" x14ac:dyDescent="0.2">
      <c r="A9" s="132" t="str">
        <f>CONCATENATE("Delinquent Findings, total N=", 'Data Entry'!B12)</f>
        <v>Delinquent Findings, total N=34</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0.5</v>
      </c>
      <c r="K9" s="97" t="str">
        <f t="shared" si="0"/>
        <v>Delinquent Findings, total N=34</v>
      </c>
      <c r="L9">
        <f>I14/(SUM(B14:G14))</f>
        <v>15.625000000000002</v>
      </c>
    </row>
    <row r="10" spans="1:12" x14ac:dyDescent="0.2">
      <c r="A10" s="132" t="str">
        <f>CONCATENATE("Petitions, total N=", 'Data Entry'!B11)</f>
        <v>Petitions, total N=51</v>
      </c>
      <c r="B10" s="157">
        <f>'Data Entry'!D11/'Data Entry'!B11</f>
        <v>1.9607843137254902E-2</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0.5490196078431373</v>
      </c>
      <c r="K10" s="97" t="str">
        <f t="shared" si="0"/>
        <v>Petitions, total N=51</v>
      </c>
      <c r="L10">
        <f>I14/(SUM(B14:G14))</f>
        <v>15.625000000000002</v>
      </c>
    </row>
    <row r="11" spans="1:12" x14ac:dyDescent="0.2">
      <c r="A11" s="132" t="str">
        <f>CONCATENATE("Detentions, total N=", 'Data Entry'!B10)</f>
        <v>Detentions, total N=5</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0.4</v>
      </c>
      <c r="K11" s="97" t="str">
        <f t="shared" si="0"/>
        <v>Detentions, total N=5</v>
      </c>
      <c r="L11">
        <f>I14/(SUM(B14:G14))</f>
        <v>15.625000000000002</v>
      </c>
    </row>
    <row r="12" spans="1:12" x14ac:dyDescent="0.2">
      <c r="A12" s="132" t="str">
        <f>CONCATENATE("Referrals, total N=", 'Data Entry'!B8)</f>
        <v>Referrals, total N=60</v>
      </c>
      <c r="B12" s="157">
        <f>'Data Entry'!D8/'Data Entry'!B8</f>
        <v>1.6666666666666666E-2</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0.55000000000000004</v>
      </c>
      <c r="K12" s="97" t="str">
        <f t="shared" si="0"/>
        <v>Referrals, total N=60</v>
      </c>
      <c r="L12">
        <f>I14/(SUM(B14:G14))</f>
        <v>15.625000000000002</v>
      </c>
    </row>
    <row r="13" spans="1:12" x14ac:dyDescent="0.2">
      <c r="A13" s="132" t="str">
        <f>CONCATENATE("Arrests, total N=", 'Data Entry'!B7)</f>
        <v>Arrests, total N=19</v>
      </c>
      <c r="B13" s="157">
        <f>'Data Entry'!D7/'Data Entry'!B7</f>
        <v>0.10526315789473684</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0.89473684210526316</v>
      </c>
      <c r="K13" s="97" t="str">
        <f t="shared" si="0"/>
        <v>Arrests, total N=19</v>
      </c>
      <c r="L13">
        <f>I14/(SUM(B14:G14))</f>
        <v>15.625000000000002</v>
      </c>
    </row>
    <row r="14" spans="1:12" x14ac:dyDescent="0.2">
      <c r="A14" s="132" t="str">
        <f>CONCATENATE("Population, total N=", 'Data Entry'!B6)</f>
        <v>Population, total N=2128</v>
      </c>
      <c r="B14" s="157">
        <f>'Data Entry'!D6/'Data Entry'!B6</f>
        <v>1.9736842105263157E-2</v>
      </c>
      <c r="C14" s="157">
        <f>'Data Entry'!E6/'Data Entry'!B6</f>
        <v>2.1616541353383457E-2</v>
      </c>
      <c r="D14" s="157">
        <f>'Data Entry'!F6/'Data Entry'!B6</f>
        <v>6.5789473684210523E-3</v>
      </c>
      <c r="E14" s="157">
        <f>'Data Entry'!G6/'Data Entry'!B6</f>
        <v>0</v>
      </c>
      <c r="F14" s="157">
        <f>'Data Entry'!H6/'Data Entry'!B6</f>
        <v>1.2218045112781954E-2</v>
      </c>
      <c r="G14" s="157">
        <f>'Data Entry'!I6/'Data Entry'!B6</f>
        <v>0</v>
      </c>
      <c r="H14" s="157">
        <f>SUM(D14:G14)/'Data Entry'!B6</f>
        <v>8.833173158460059E-6</v>
      </c>
      <c r="I14" s="157">
        <f>'Data Entry'!C6/'Data Entry'!B6</f>
        <v>0.93984962406015038</v>
      </c>
      <c r="K14" s="97" t="str">
        <f t="shared" si="0"/>
        <v>Population, total N=2128</v>
      </c>
      <c r="L14">
        <f>I14/(SUM(B14:G14))</f>
        <v>15.625000000000002</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Alpena</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2000</v>
      </c>
      <c r="D7" s="105">
        <f>'Data Entry'!D6</f>
        <v>42</v>
      </c>
      <c r="E7" s="106"/>
      <c r="F7" s="107">
        <f>'Data Entry'!E6</f>
        <v>46</v>
      </c>
      <c r="G7" s="106"/>
      <c r="H7" s="107">
        <f>'Data Entry'!F6</f>
        <v>14</v>
      </c>
      <c r="I7" s="106"/>
      <c r="J7" s="107">
        <f>'Data Entry'!J6</f>
        <v>128</v>
      </c>
      <c r="K7" s="108"/>
    </row>
    <row r="8" spans="2:30" s="1" customFormat="1" ht="15" customHeight="1" x14ac:dyDescent="0.3">
      <c r="B8" s="125" t="s">
        <v>8</v>
      </c>
      <c r="C8" s="104">
        <f>'Data Entry'!C7</f>
        <v>17</v>
      </c>
      <c r="D8" s="105">
        <f>'Data Entry'!D7</f>
        <v>2</v>
      </c>
      <c r="E8" s="106" t="str">
        <f>'Black or African-American'!$G7</f>
        <v>**</v>
      </c>
      <c r="F8" s="107">
        <f>'Data Entry'!E7</f>
        <v>0</v>
      </c>
      <c r="G8" s="106" t="str">
        <f>Hispanic!G7</f>
        <v>**</v>
      </c>
      <c r="H8" s="107">
        <f>'Data Entry'!F7</f>
        <v>0</v>
      </c>
      <c r="I8" s="106" t="str">
        <f>Asian!G7</f>
        <v>*</v>
      </c>
      <c r="J8" s="107">
        <f>'Data Entry'!J7</f>
        <v>2</v>
      </c>
      <c r="K8" s="108" t="str">
        <f>'All Minorities'!G7</f>
        <v>**</v>
      </c>
      <c r="L8"/>
      <c r="N8" s="1">
        <f>'Black or African-American'!L7</f>
        <v>20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33</v>
      </c>
      <c r="D9" s="109">
        <f>'Data Entry'!D8</f>
        <v>1</v>
      </c>
      <c r="E9" s="110" t="str">
        <f>'Black or African-American'!$G8</f>
        <v>**</v>
      </c>
      <c r="F9" s="111">
        <f>'Data Entry'!E8</f>
        <v>0</v>
      </c>
      <c r="G9" s="110" t="str">
        <f>Hispanic!G8</f>
        <v>**</v>
      </c>
      <c r="H9" s="111">
        <f>'Data Entry'!F8</f>
        <v>0</v>
      </c>
      <c r="I9" s="110" t="str">
        <f>Asian!G8</f>
        <v>*</v>
      </c>
      <c r="J9" s="111">
        <f>'Data Entry'!J8</f>
        <v>1</v>
      </c>
      <c r="K9" s="112"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2</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x14ac:dyDescent="0.3">
      <c r="B12" s="125" t="s">
        <v>95</v>
      </c>
      <c r="C12" s="104">
        <f>'Data Entry'!C11</f>
        <v>28</v>
      </c>
      <c r="D12" s="113">
        <f>'Data Entry'!D11</f>
        <v>1</v>
      </c>
      <c r="E12" s="114" t="str">
        <f>'Black or African-American'!$G11</f>
        <v>**</v>
      </c>
      <c r="F12" s="115">
        <f>'Data Entry'!E11</f>
        <v>0</v>
      </c>
      <c r="G12" s="114" t="str">
        <f>Hispanic!G11</f>
        <v>--</v>
      </c>
      <c r="H12" s="115">
        <f>'Data Entry'!F11</f>
        <v>0</v>
      </c>
      <c r="I12" s="114" t="str">
        <f>Asian!G11</f>
        <v>*</v>
      </c>
      <c r="J12" s="115">
        <f>'Data Entry'!J11</f>
        <v>1</v>
      </c>
      <c r="K12" s="116"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x14ac:dyDescent="0.3">
      <c r="B13" s="125" t="s">
        <v>13</v>
      </c>
      <c r="C13" s="104">
        <f>'Data Entry'!C12</f>
        <v>17</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Alpena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2000</v>
      </c>
      <c r="D6" s="34"/>
      <c r="E6" s="33">
        <f>'Data Entry'!D6</f>
        <v>42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17</v>
      </c>
      <c r="D7" s="34">
        <f>IF((AND(C66&gt;0,C7&gt;0)),(C7/C66),0)</f>
        <v>8.5</v>
      </c>
      <c r="E7" s="33">
        <f>'Data Entry'!D7</f>
        <v>2</v>
      </c>
      <c r="F7" s="34">
        <f>IF((AND($E$7&gt;0,$D$66&gt;0)),($E$7/$D$66),0)</f>
        <v>47.619047619047613</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2</v>
      </c>
      <c r="O7" s="42">
        <f>E6-E7</f>
        <v>40</v>
      </c>
      <c r="P7" s="42">
        <f t="shared" ref="P7:P15" si="2">C7</f>
        <v>17</v>
      </c>
      <c r="Q7" s="42">
        <f>C6-C7</f>
        <v>1983</v>
      </c>
      <c r="R7" s="42">
        <f t="shared" ref="R7:R15" si="3">SUM(N7:Q7)</f>
        <v>2042</v>
      </c>
      <c r="S7" s="30">
        <f t="shared" ref="S7:S15" si="4">R7*((((N7*Q7)-(O7*P7))^2))</f>
        <v>22049099432</v>
      </c>
      <c r="T7" s="30">
        <f t="shared" ref="T7:T15" si="5">(N7+O7)*(P7+Q7)*(N7+P7)*(O7+Q7)</f>
        <v>3228708000</v>
      </c>
      <c r="U7" s="31">
        <f t="shared" ref="U7:U15" si="6">IF((S7&gt;0),S7/T7,"- -")</f>
        <v>6.8290782046564757</v>
      </c>
    </row>
    <row r="8" spans="2:21" ht="18" customHeight="1" x14ac:dyDescent="0.25">
      <c r="B8" s="32" t="str">
        <f>'Data Entry'!A8</f>
        <v>3. Refer to Juvenile Court</v>
      </c>
      <c r="C8" s="33">
        <f>'Data Entry'!C8</f>
        <v>33</v>
      </c>
      <c r="D8" s="34">
        <f>IF((AND(C67&gt;0,C8&gt;0)),(C8/C67),0)</f>
        <v>194.11764705882351</v>
      </c>
      <c r="E8" s="33">
        <f>'Data Entry'!D8</f>
        <v>1</v>
      </c>
      <c r="F8" s="34">
        <f>IF((AND($E$8&gt;0,$D$67&gt;0)),($E8/$D67),0)</f>
        <v>50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1.05</v>
      </c>
      <c r="P8" s="42">
        <f t="shared" si="2"/>
        <v>33</v>
      </c>
      <c r="Q8" s="42">
        <f>(C$67*L67)-C8</f>
        <v>-16</v>
      </c>
      <c r="R8" s="42">
        <f t="shared" si="3"/>
        <v>19.049999999999997</v>
      </c>
      <c r="S8" s="30">
        <f t="shared" si="4"/>
        <v>48871.298624999989</v>
      </c>
      <c r="T8" s="30">
        <f t="shared" si="5"/>
        <v>-17714.254999999997</v>
      </c>
      <c r="U8" s="31">
        <f t="shared" si="6"/>
        <v>-2.7588684155783008</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33</v>
      </c>
      <c r="R9" s="42">
        <f t="shared" si="3"/>
        <v>34</v>
      </c>
      <c r="S9" s="30">
        <f t="shared" si="4"/>
        <v>0</v>
      </c>
      <c r="T9" s="30">
        <f t="shared" si="5"/>
        <v>0</v>
      </c>
      <c r="U9" s="31" t="str">
        <f t="shared" si="6"/>
        <v>- -</v>
      </c>
    </row>
    <row r="10" spans="2:21" ht="18" customHeight="1" x14ac:dyDescent="0.25">
      <c r="B10" s="32" t="str">
        <f>'Data Entry'!A10</f>
        <v>5. Cases Involving Secure Detention</v>
      </c>
      <c r="C10" s="33">
        <f>'Data Entry'!C10</f>
        <v>2</v>
      </c>
      <c r="D10" s="34">
        <f>IF(((AND(C68&gt;0,C10&gt;0))),(C10/(C68)),0)</f>
        <v>6.0606060606060606</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2</v>
      </c>
      <c r="Q10" s="42">
        <f>(C$68*L68)-C10</f>
        <v>31</v>
      </c>
      <c r="R10" s="42">
        <f t="shared" si="3"/>
        <v>34</v>
      </c>
      <c r="S10" s="30">
        <f t="shared" si="4"/>
        <v>136</v>
      </c>
      <c r="T10" s="30">
        <f t="shared" si="5"/>
        <v>2112</v>
      </c>
      <c r="U10" s="31">
        <f t="shared" si="6"/>
        <v>6.4393939393939392E-2</v>
      </c>
    </row>
    <row r="11" spans="2:21" ht="18" customHeight="1" x14ac:dyDescent="0.25">
      <c r="B11" s="32" t="str">
        <f>'Data Entry'!A11</f>
        <v>6. Cases Petitioned (Charge Filed)</v>
      </c>
      <c r="C11" s="33">
        <f>'Data Entry'!C11</f>
        <v>28</v>
      </c>
      <c r="D11" s="34">
        <f>IF(((AND(C68&gt;0,C11&gt;0))),(C11/(C68)),0)</f>
        <v>84.848484848484844</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28</v>
      </c>
      <c r="Q11" s="42">
        <f>(C$68*L68)-C11</f>
        <v>5</v>
      </c>
      <c r="R11" s="42">
        <f t="shared" si="3"/>
        <v>34</v>
      </c>
      <c r="S11" s="30">
        <f t="shared" si="4"/>
        <v>850</v>
      </c>
      <c r="T11" s="30">
        <f t="shared" si="5"/>
        <v>4785</v>
      </c>
      <c r="U11" s="31">
        <f t="shared" si="6"/>
        <v>0.17763845350052246</v>
      </c>
    </row>
    <row r="12" spans="2:21" ht="18" customHeight="1" x14ac:dyDescent="0.25">
      <c r="B12" s="32" t="str">
        <f>'Data Entry'!A12</f>
        <v>7. Cases Resulting in Delinquent Findings</v>
      </c>
      <c r="C12" s="33">
        <f>'Data Entry'!C12</f>
        <v>17</v>
      </c>
      <c r="D12" s="34">
        <f>IF(((AND(C69&gt;0,C12&gt;0))),(C12/(C69)),0)</f>
        <v>60.714285714285708</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1</v>
      </c>
      <c r="P12" s="42">
        <f t="shared" si="2"/>
        <v>17</v>
      </c>
      <c r="Q12" s="42">
        <f>(C69*L69)-C12</f>
        <v>11.000000000000004</v>
      </c>
      <c r="R12" s="42">
        <f t="shared" si="3"/>
        <v>29.000000000000004</v>
      </c>
      <c r="S12" s="30">
        <f t="shared" si="4"/>
        <v>8381.0000000000018</v>
      </c>
      <c r="T12" s="30">
        <f t="shared" si="5"/>
        <v>5712.0000000000027</v>
      </c>
      <c r="U12" s="31">
        <f t="shared" si="6"/>
        <v>1.4672619047619044</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17</v>
      </c>
      <c r="R13" s="42">
        <f t="shared" si="3"/>
        <v>17</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3</v>
      </c>
      <c r="Q14" s="42">
        <f>(C70*L70)-C14</f>
        <v>14</v>
      </c>
      <c r="R14" s="42">
        <f t="shared" si="3"/>
        <v>17</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28.000000000000004</v>
      </c>
      <c r="R15" s="42">
        <f t="shared" si="3"/>
        <v>29.000000000000004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v>
      </c>
      <c r="D42" s="56">
        <f>E6/1000</f>
        <v>4.2000000000000003E-2</v>
      </c>
      <c r="E42" s="56">
        <f>MAX(C42:D42)</f>
        <v>2</v>
      </c>
      <c r="G42" s="1" t="str">
        <f>B42</f>
        <v>per 1000 youth</v>
      </c>
      <c r="L42" s="57">
        <v>1000</v>
      </c>
      <c r="M42" s="57"/>
      <c r="R42" s="49"/>
    </row>
    <row r="43" spans="2:18" ht="15" hidden="1" customHeight="1" x14ac:dyDescent="0.25">
      <c r="B43" s="49" t="s">
        <v>87</v>
      </c>
      <c r="C43" s="56">
        <f>C7/100</f>
        <v>0.17</v>
      </c>
      <c r="D43" s="56">
        <f>E7/100</f>
        <v>0.02</v>
      </c>
      <c r="E43" s="56">
        <f>MAX(C43:D43,0)</f>
        <v>0.17</v>
      </c>
      <c r="G43" s="1" t="str">
        <f>B43</f>
        <v>per 100 arrests</v>
      </c>
      <c r="L43" s="57">
        <v>100</v>
      </c>
      <c r="M43" s="57"/>
      <c r="R43" s="49"/>
    </row>
    <row r="44" spans="2:18" ht="15" hidden="1" customHeight="1" x14ac:dyDescent="0.25">
      <c r="B44" s="49" t="s">
        <v>88</v>
      </c>
      <c r="C44" s="56">
        <f>C8/100</f>
        <v>0.33</v>
      </c>
      <c r="D44" s="56">
        <f>E8/100</f>
        <v>0.01</v>
      </c>
      <c r="E44" s="56">
        <f>MAX(C44:D44,0)</f>
        <v>0.33</v>
      </c>
      <c r="G44" s="1" t="str">
        <f>B44</f>
        <v>per 100 referrals</v>
      </c>
      <c r="L44" s="57">
        <v>100</v>
      </c>
      <c r="M44" s="57"/>
      <c r="R44" s="49"/>
    </row>
    <row r="45" spans="2:18" ht="15" hidden="1" customHeight="1" x14ac:dyDescent="0.25">
      <c r="B45" s="49" t="s">
        <v>89</v>
      </c>
      <c r="C45" s="49">
        <f>C11/100</f>
        <v>0.28000000000000003</v>
      </c>
      <c r="D45" s="49">
        <f>E11/100</f>
        <v>0.01</v>
      </c>
      <c r="E45" s="56">
        <f>MAX(C45:D45,0)</f>
        <v>0.28000000000000003</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v>
      </c>
      <c r="D48" s="56">
        <f>D42</f>
        <v>4.2000000000000003E-2</v>
      </c>
      <c r="E48" s="56">
        <f>MAX(C48:D48)</f>
        <v>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0.17</v>
      </c>
      <c r="D49" s="49">
        <f t="shared" si="9"/>
        <v>0.02</v>
      </c>
      <c r="E49" s="49">
        <f>MAX(C49:D49)</f>
        <v>0.17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0.33</v>
      </c>
      <c r="D50" s="49">
        <f t="shared" si="9"/>
        <v>0.01</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0.01</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v>
      </c>
      <c r="D54" s="56">
        <f>D48</f>
        <v>4.2000000000000003E-2</v>
      </c>
      <c r="E54" s="56">
        <f>MAX(C54:D54)</f>
        <v>2</v>
      </c>
      <c r="G54" s="1" t="str">
        <f>G48</f>
        <v>per 1000 youth</v>
      </c>
      <c r="L54" s="58">
        <f>L48</f>
        <v>1000</v>
      </c>
      <c r="M54" s="58"/>
    </row>
    <row r="55" spans="2:18" ht="15" hidden="1" customHeight="1" x14ac:dyDescent="0.25">
      <c r="B55" s="49" t="str">
        <f t="shared" ref="B55:D56" si="10">IF(($E49&gt;0),B49,B48)</f>
        <v>per 100 arrests</v>
      </c>
      <c r="C55" s="49">
        <f t="shared" si="10"/>
        <v>0.17</v>
      </c>
      <c r="D55" s="49">
        <f t="shared" si="10"/>
        <v>0.02</v>
      </c>
      <c r="E55" s="49">
        <f>MAX(C55:D55)</f>
        <v>0.17</v>
      </c>
      <c r="G55" s="1" t="str">
        <f>G49</f>
        <v>per 100 arrests</v>
      </c>
      <c r="L55" s="58">
        <f>IF(($E49&gt;0),L49,L48)</f>
        <v>100</v>
      </c>
      <c r="M55" s="58"/>
    </row>
    <row r="56" spans="2:18" ht="15" hidden="1" customHeight="1" x14ac:dyDescent="0.25">
      <c r="B56" s="49" t="str">
        <f t="shared" si="10"/>
        <v>per 100 referrals</v>
      </c>
      <c r="C56" s="49">
        <f t="shared" si="10"/>
        <v>0.33</v>
      </c>
      <c r="D56" s="49">
        <f t="shared" si="10"/>
        <v>0.01</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0.01</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v>
      </c>
      <c r="D60" s="56">
        <f>D54</f>
        <v>4.2000000000000003E-2</v>
      </c>
      <c r="E60" s="56">
        <f>MAX(C60:D60)</f>
        <v>2</v>
      </c>
      <c r="G60" s="1" t="str">
        <f>G54</f>
        <v>per 1000 youth</v>
      </c>
      <c r="L60" s="58">
        <f>L54</f>
        <v>1000</v>
      </c>
      <c r="M60" s="58"/>
    </row>
    <row r="61" spans="2:18" ht="15" hidden="1" customHeight="1" x14ac:dyDescent="0.25">
      <c r="B61" s="49" t="str">
        <f t="shared" ref="B61:D62" si="11">IF(($E55&gt;0),B55,B54)</f>
        <v>per 100 arrests</v>
      </c>
      <c r="C61" s="49">
        <f t="shared" si="11"/>
        <v>0.17</v>
      </c>
      <c r="D61" s="49">
        <f t="shared" si="11"/>
        <v>0.02</v>
      </c>
      <c r="E61" s="49">
        <f>MAX(C61:D61)</f>
        <v>0.17</v>
      </c>
      <c r="G61" s="1" t="str">
        <f>G55</f>
        <v>per 100 arrests</v>
      </c>
      <c r="L61" s="58">
        <f>IF(($E55&gt;0),L55,L54)</f>
        <v>100</v>
      </c>
      <c r="M61" s="58"/>
    </row>
    <row r="62" spans="2:18" ht="15" hidden="1" customHeight="1" x14ac:dyDescent="0.25">
      <c r="B62" s="49" t="str">
        <f t="shared" si="11"/>
        <v>per 100 referrals</v>
      </c>
      <c r="C62" s="49">
        <f t="shared" si="11"/>
        <v>0.33</v>
      </c>
      <c r="D62" s="49">
        <f t="shared" si="11"/>
        <v>0.01</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0.01</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v>
      </c>
      <c r="D66" s="56">
        <f>D60</f>
        <v>4.2000000000000003E-2</v>
      </c>
      <c r="E66" s="56">
        <f>MAX(C66:D66)</f>
        <v>2</v>
      </c>
      <c r="G66" s="1" t="str">
        <f>G60</f>
        <v>per 1000 youth</v>
      </c>
      <c r="L66" s="58">
        <f>L60</f>
        <v>1000</v>
      </c>
      <c r="M66" s="58">
        <f>IF((B66=G66),1,2)</f>
        <v>1</v>
      </c>
    </row>
    <row r="67" spans="2:13" ht="15" hidden="1" customHeight="1" x14ac:dyDescent="0.25">
      <c r="B67" s="49" t="str">
        <f t="shared" ref="B67:D68" si="12">IF(($E61&gt;0),B61,B60)</f>
        <v>per 100 arrests</v>
      </c>
      <c r="C67" s="49">
        <f t="shared" si="12"/>
        <v>0.17</v>
      </c>
      <c r="D67" s="49">
        <f t="shared" si="12"/>
        <v>0.02</v>
      </c>
      <c r="E67" s="49">
        <f>MAX(C67:D67)</f>
        <v>0.17</v>
      </c>
      <c r="G67" s="1" t="str">
        <f>G61</f>
        <v>per 100 arrests</v>
      </c>
      <c r="L67" s="58">
        <f>IF(($E61&gt;0),L61,L60)</f>
        <v>100</v>
      </c>
      <c r="M67" s="58">
        <f>IF((B67=G67),1,2)</f>
        <v>1</v>
      </c>
    </row>
    <row r="68" spans="2:13" ht="15" hidden="1" customHeight="1" x14ac:dyDescent="0.25">
      <c r="B68" s="49" t="str">
        <f t="shared" si="12"/>
        <v>per 100 referrals</v>
      </c>
      <c r="C68" s="49">
        <f t="shared" si="12"/>
        <v>0.33</v>
      </c>
      <c r="D68" s="49">
        <f t="shared" si="12"/>
        <v>0.01</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0.01</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Alpena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2000</v>
      </c>
      <c r="D6" s="34"/>
      <c r="E6" s="33">
        <f>'Data Entry'!F6</f>
        <v>14</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17</v>
      </c>
      <c r="D7" s="34">
        <f>IF((AND(C66&gt;0,C7&gt;0)),(C7/C66),0)</f>
        <v>8.5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v>
      </c>
      <c r="P7" s="42">
        <f t="shared" ref="P7:P15" si="4">C7</f>
        <v>17</v>
      </c>
      <c r="Q7" s="42">
        <f>C6-C7</f>
        <v>1983</v>
      </c>
      <c r="R7" s="42">
        <f t="shared" ref="R7:R15" si="5">SUM(N7:Q7)</f>
        <v>2014</v>
      </c>
      <c r="S7" s="30">
        <f t="shared" ref="S7:S15" si="6">R7*((((N7*Q7)-(O7*P7))^2))</f>
        <v>114081016</v>
      </c>
      <c r="T7" s="30">
        <f t="shared" ref="T7:T15" si="7">(N7+O7)*(P7+Q7)*(N7+P7)*(O7+Q7)</f>
        <v>950572000</v>
      </c>
      <c r="U7" s="31">
        <f t="shared" ref="U7:U15" si="8">IF((S7&gt;0),S7/T7,"- -")</f>
        <v>0.12001301952929394</v>
      </c>
    </row>
    <row r="8" spans="2:21" ht="18" customHeight="1" x14ac:dyDescent="0.25">
      <c r="B8" s="32" t="str">
        <f>'Data Entry'!A8</f>
        <v>3. Refer to Juvenile Court</v>
      </c>
      <c r="C8" s="33">
        <f>'Data Entry'!C8</f>
        <v>33</v>
      </c>
      <c r="D8" s="34">
        <f>IF((AND(C67&gt;0,C8&gt;0)),(C8/C67),0)</f>
        <v>194.11764705882351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33</v>
      </c>
      <c r="Q8" s="42">
        <f>(C$67*L67)-C8</f>
        <v>-16</v>
      </c>
      <c r="R8" s="42">
        <f t="shared" si="5"/>
        <v>17.049999999999997</v>
      </c>
      <c r="S8" s="30">
        <f t="shared" si="6"/>
        <v>46.418625000000006</v>
      </c>
      <c r="T8" s="30">
        <f t="shared" si="7"/>
        <v>-447.39750000000004</v>
      </c>
      <c r="U8" s="31">
        <f t="shared" si="8"/>
        <v>-0.10375253549695741</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v>
      </c>
      <c r="R9" s="42">
        <f t="shared" si="5"/>
        <v>33</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6.0606060606060606</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31</v>
      </c>
      <c r="R10" s="42">
        <f t="shared" si="5"/>
        <v>33</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84.848484848484844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5</v>
      </c>
      <c r="R11" s="42">
        <f t="shared" si="5"/>
        <v>33</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60.714285714285708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11.000000000000004</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v>
      </c>
      <c r="D42" s="56">
        <f>E6/1000</f>
        <v>1.4E-2</v>
      </c>
      <c r="E42" s="56">
        <f>MAX(C42:D42)</f>
        <v>2</v>
      </c>
      <c r="G42" s="1" t="str">
        <f>B42</f>
        <v>per 1000 youth</v>
      </c>
      <c r="L42" s="57">
        <v>1000</v>
      </c>
      <c r="M42" s="57"/>
      <c r="R42" s="49"/>
    </row>
    <row r="43" spans="2:18" ht="15" hidden="1" customHeight="1" x14ac:dyDescent="0.25">
      <c r="B43" s="49" t="s">
        <v>87</v>
      </c>
      <c r="C43" s="56">
        <f>C7/100</f>
        <v>0.17</v>
      </c>
      <c r="D43" s="56">
        <f>E7/100</f>
        <v>0</v>
      </c>
      <c r="E43" s="56">
        <f>MAX(C43:D43,0)</f>
        <v>0.17</v>
      </c>
      <c r="G43" s="1" t="str">
        <f>B43</f>
        <v>per 100 arrests</v>
      </c>
      <c r="L43" s="57">
        <v>100</v>
      </c>
      <c r="M43" s="57"/>
      <c r="R43" s="49"/>
    </row>
    <row r="44" spans="2:18" ht="15" hidden="1" customHeight="1" x14ac:dyDescent="0.25">
      <c r="B44" s="49" t="s">
        <v>88</v>
      </c>
      <c r="C44" s="56">
        <f>C8/100</f>
        <v>0.33</v>
      </c>
      <c r="D44" s="56">
        <f>E8/100</f>
        <v>0</v>
      </c>
      <c r="E44" s="56">
        <f>MAX(C44:D44,0)</f>
        <v>0.33</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v>
      </c>
      <c r="D48" s="56">
        <f>D42</f>
        <v>1.4E-2</v>
      </c>
      <c r="E48" s="56">
        <f>MAX(C48:D48)</f>
        <v>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v>
      </c>
      <c r="D54" s="56">
        <f>D48</f>
        <v>1.4E-2</v>
      </c>
      <c r="E54" s="56">
        <f>MAX(C54:D54)</f>
        <v>2</v>
      </c>
      <c r="G54" s="1" t="str">
        <f>G48</f>
        <v>per 1000 youth</v>
      </c>
      <c r="L54" s="58">
        <f>L48</f>
        <v>1000</v>
      </c>
      <c r="M54" s="58"/>
    </row>
    <row r="55" spans="2:18" ht="15" hidden="1" customHeight="1" x14ac:dyDescent="0.25">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x14ac:dyDescent="0.25">
      <c r="B56" s="49" t="str">
        <f t="shared" si="10"/>
        <v>per 100 referrals</v>
      </c>
      <c r="C56" s="49">
        <f t="shared" si="10"/>
        <v>0.33</v>
      </c>
      <c r="D56" s="49">
        <f t="shared" si="10"/>
        <v>0</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v>
      </c>
      <c r="D60" s="56">
        <f>D54</f>
        <v>1.4E-2</v>
      </c>
      <c r="E60" s="56">
        <f>MAX(C60:D60)</f>
        <v>2</v>
      </c>
      <c r="G60" s="1" t="str">
        <f>G54</f>
        <v>per 1000 youth</v>
      </c>
      <c r="L60" s="58">
        <f>L54</f>
        <v>1000</v>
      </c>
      <c r="M60" s="58"/>
    </row>
    <row r="61" spans="2:18" ht="15" hidden="1" customHeight="1" x14ac:dyDescent="0.25">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x14ac:dyDescent="0.25">
      <c r="B62" s="49" t="str">
        <f t="shared" si="11"/>
        <v>per 100 referrals</v>
      </c>
      <c r="C62" s="49">
        <f t="shared" si="11"/>
        <v>0.33</v>
      </c>
      <c r="D62" s="49">
        <f t="shared" si="11"/>
        <v>0</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v>
      </c>
      <c r="D66" s="56">
        <f>D60</f>
        <v>1.4E-2</v>
      </c>
      <c r="E66" s="56">
        <f>MAX(C66:D66)</f>
        <v>2</v>
      </c>
      <c r="G66" s="1" t="str">
        <f>G60</f>
        <v>per 1000 youth</v>
      </c>
      <c r="L66" s="58">
        <f>L60</f>
        <v>1000</v>
      </c>
      <c r="M66" s="58">
        <f>IF((B66=G66),1,2)</f>
        <v>1</v>
      </c>
    </row>
    <row r="67" spans="2:13" ht="15" hidden="1" customHeight="1" x14ac:dyDescent="0.25">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x14ac:dyDescent="0.25">
      <c r="B68" s="49" t="str">
        <f t="shared" si="12"/>
        <v>per 100 referrals</v>
      </c>
      <c r="C68" s="49">
        <f t="shared" si="12"/>
        <v>0.33</v>
      </c>
      <c r="D68" s="49">
        <f t="shared" si="12"/>
        <v>0</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Alpena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2000</v>
      </c>
      <c r="D6" s="34"/>
      <c r="E6" s="33">
        <f>'Data Entry'!E6</f>
        <v>46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17</v>
      </c>
      <c r="D7" s="34">
        <f>IF((AND(C66&gt;0,C7&gt;0)),(C7/C66),0)</f>
        <v>8.5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46</v>
      </c>
      <c r="P7" s="42">
        <f t="shared" ref="P7:P15" si="4">C7</f>
        <v>17</v>
      </c>
      <c r="Q7" s="42">
        <f>C6-C7</f>
        <v>1983</v>
      </c>
      <c r="R7" s="42">
        <f t="shared" ref="R7:R15" si="5">SUM(N7:Q7)</f>
        <v>2046</v>
      </c>
      <c r="S7" s="30">
        <f t="shared" ref="S7:S15" si="6">R7*((((N7*Q7)-(O7*P7))^2))</f>
        <v>1251178104</v>
      </c>
      <c r="T7" s="30">
        <f t="shared" ref="T7:T15" si="7">(N7+O7)*(P7+Q7)*(N7+P7)*(O7+Q7)</f>
        <v>3173356000</v>
      </c>
      <c r="U7" s="31">
        <f t="shared" ref="U7:U15" si="8">IF((S7&gt;0),S7/T7,"- -")</f>
        <v>0.39427599802858548</v>
      </c>
    </row>
    <row r="8" spans="2:21" ht="18" customHeight="1" x14ac:dyDescent="0.25">
      <c r="B8" s="32" t="str">
        <f>'Data Entry'!A8</f>
        <v>3. Refer to Juvenile Court</v>
      </c>
      <c r="C8" s="33">
        <f>'Data Entry'!C8</f>
        <v>33</v>
      </c>
      <c r="D8" s="34">
        <f>IF((AND(C67&gt;0,C8&gt;0)),(C8/C67),0)</f>
        <v>194.11764705882351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33</v>
      </c>
      <c r="Q8" s="42">
        <f>(C$67*L67)-C8</f>
        <v>-16</v>
      </c>
      <c r="R8" s="42">
        <f t="shared" si="5"/>
        <v>17.049999999999997</v>
      </c>
      <c r="S8" s="30">
        <f t="shared" si="6"/>
        <v>46.418625000000006</v>
      </c>
      <c r="T8" s="30">
        <f t="shared" si="7"/>
        <v>-447.39750000000004</v>
      </c>
      <c r="U8" s="31">
        <f t="shared" si="8"/>
        <v>-0.10375253549695741</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v>
      </c>
      <c r="R9" s="42">
        <f t="shared" si="5"/>
        <v>33</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6.0606060606060606</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31</v>
      </c>
      <c r="R10" s="42">
        <f t="shared" si="5"/>
        <v>33</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84.848484848484844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5</v>
      </c>
      <c r="R11" s="42">
        <f t="shared" si="5"/>
        <v>33</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60.714285714285708</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11.000000000000004</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v>
      </c>
      <c r="D42" s="56">
        <f>E6/1000</f>
        <v>4.5999999999999999E-2</v>
      </c>
      <c r="E42" s="56">
        <f>MAX(C42:D42)</f>
        <v>2</v>
      </c>
      <c r="G42" s="1" t="str">
        <f>B42</f>
        <v>per 1000 youth</v>
      </c>
      <c r="L42" s="57">
        <v>1000</v>
      </c>
      <c r="M42" s="57"/>
      <c r="R42" s="49"/>
    </row>
    <row r="43" spans="2:18" ht="15" hidden="1" customHeight="1" x14ac:dyDescent="0.25">
      <c r="B43" s="49" t="s">
        <v>87</v>
      </c>
      <c r="C43" s="56">
        <f>C7/100</f>
        <v>0.17</v>
      </c>
      <c r="D43" s="56">
        <f>E7/100</f>
        <v>0</v>
      </c>
      <c r="E43" s="56">
        <f>MAX(C43:D43,0)</f>
        <v>0.17</v>
      </c>
      <c r="G43" s="1" t="str">
        <f>B43</f>
        <v>per 100 arrests</v>
      </c>
      <c r="L43" s="57">
        <v>100</v>
      </c>
      <c r="M43" s="57"/>
      <c r="R43" s="49"/>
    </row>
    <row r="44" spans="2:18" ht="15" hidden="1" customHeight="1" x14ac:dyDescent="0.25">
      <c r="B44" s="49" t="s">
        <v>88</v>
      </c>
      <c r="C44" s="56">
        <f>C8/100</f>
        <v>0.33</v>
      </c>
      <c r="D44" s="56">
        <f>E8/100</f>
        <v>0</v>
      </c>
      <c r="E44" s="56">
        <f>MAX(C44:D44,0)</f>
        <v>0.33</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v>
      </c>
      <c r="D48" s="56">
        <f>D42</f>
        <v>4.5999999999999999E-2</v>
      </c>
      <c r="E48" s="56">
        <f>MAX(C48:D48)</f>
        <v>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v>
      </c>
      <c r="D54" s="56">
        <f>D48</f>
        <v>4.5999999999999999E-2</v>
      </c>
      <c r="E54" s="56">
        <f>MAX(C54:D54)</f>
        <v>2</v>
      </c>
      <c r="G54" s="1" t="str">
        <f>G48</f>
        <v>per 1000 youth</v>
      </c>
      <c r="L54" s="58">
        <f>L48</f>
        <v>1000</v>
      </c>
      <c r="M54" s="58"/>
    </row>
    <row r="55" spans="2:18" ht="15" hidden="1" customHeight="1" x14ac:dyDescent="0.25">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x14ac:dyDescent="0.25">
      <c r="B56" s="49" t="str">
        <f t="shared" si="10"/>
        <v>per 100 referrals</v>
      </c>
      <c r="C56" s="49">
        <f t="shared" si="10"/>
        <v>0.33</v>
      </c>
      <c r="D56" s="49">
        <f t="shared" si="10"/>
        <v>0</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v>
      </c>
      <c r="D60" s="56">
        <f>D54</f>
        <v>4.5999999999999999E-2</v>
      </c>
      <c r="E60" s="56">
        <f>MAX(C60:D60)</f>
        <v>2</v>
      </c>
      <c r="G60" s="1" t="str">
        <f>G54</f>
        <v>per 1000 youth</v>
      </c>
      <c r="L60" s="58">
        <f>L54</f>
        <v>1000</v>
      </c>
      <c r="M60" s="58"/>
    </row>
    <row r="61" spans="2:18" ht="15" hidden="1" customHeight="1" x14ac:dyDescent="0.25">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x14ac:dyDescent="0.25">
      <c r="B62" s="49" t="str">
        <f t="shared" si="11"/>
        <v>per 100 referrals</v>
      </c>
      <c r="C62" s="49">
        <f t="shared" si="11"/>
        <v>0.33</v>
      </c>
      <c r="D62" s="49">
        <f t="shared" si="11"/>
        <v>0</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v>
      </c>
      <c r="D66" s="56">
        <f>D60</f>
        <v>4.5999999999999999E-2</v>
      </c>
      <c r="E66" s="56">
        <f>MAX(C66:D66)</f>
        <v>2</v>
      </c>
      <c r="G66" s="1" t="str">
        <f>G60</f>
        <v>per 1000 youth</v>
      </c>
      <c r="L66" s="58">
        <f>L60</f>
        <v>1000</v>
      </c>
      <c r="M66" s="58">
        <f>IF((B66=G66),1,2)</f>
        <v>1</v>
      </c>
    </row>
    <row r="67" spans="2:13" ht="15" hidden="1" customHeight="1" x14ac:dyDescent="0.25">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x14ac:dyDescent="0.25">
      <c r="B68" s="49" t="str">
        <f t="shared" si="12"/>
        <v>per 100 referrals</v>
      </c>
      <c r="C68" s="49">
        <f t="shared" si="12"/>
        <v>0.33</v>
      </c>
      <c r="D68" s="49">
        <f t="shared" si="12"/>
        <v>0</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Alpena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2000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17</v>
      </c>
      <c r="D7" s="34">
        <f>IF((AND(C66&gt;0,C7&gt;0)),(C7/C66),0)</f>
        <v>8.5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1983</v>
      </c>
      <c r="R7" s="42">
        <f t="shared" ref="R7:R15" si="5">SUM(N7:Q7)</f>
        <v>2000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33</v>
      </c>
      <c r="D8" s="34">
        <f>IF((AND(C67&gt;0,C8&gt;0)),(C8/C67),0)</f>
        <v>194.11764705882351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33</v>
      </c>
      <c r="Q8" s="42">
        <f>(C$67*L67)-C8</f>
        <v>-16</v>
      </c>
      <c r="R8" s="42">
        <f t="shared" si="5"/>
        <v>17.049999999999997</v>
      </c>
      <c r="S8" s="30">
        <f t="shared" si="6"/>
        <v>46.418625000000006</v>
      </c>
      <c r="T8" s="30">
        <f t="shared" si="7"/>
        <v>-447.39750000000004</v>
      </c>
      <c r="U8" s="31">
        <f t="shared" si="8"/>
        <v>-0.10375253549695741</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v>
      </c>
      <c r="R9" s="42">
        <f t="shared" si="5"/>
        <v>33</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6.0606060606060606</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31</v>
      </c>
      <c r="R10" s="42">
        <f t="shared" si="5"/>
        <v>33</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84.848484848484844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5</v>
      </c>
      <c r="R11" s="42">
        <f t="shared" si="5"/>
        <v>33</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60.714285714285708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11.000000000000004</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v>
      </c>
      <c r="D42" s="56">
        <f>E6/1000</f>
        <v>0</v>
      </c>
      <c r="E42" s="56">
        <f>MAX(C42:D42)</f>
        <v>2</v>
      </c>
      <c r="G42" s="1" t="str">
        <f>B42</f>
        <v>per 1000 youth</v>
      </c>
      <c r="L42" s="57">
        <v>1000</v>
      </c>
      <c r="M42" s="57"/>
      <c r="R42" s="49"/>
    </row>
    <row r="43" spans="2:18" ht="15" hidden="1" customHeight="1" x14ac:dyDescent="0.25">
      <c r="B43" s="49" t="s">
        <v>87</v>
      </c>
      <c r="C43" s="56">
        <f>C7/100</f>
        <v>0.17</v>
      </c>
      <c r="D43" s="56">
        <f>E7/100</f>
        <v>0</v>
      </c>
      <c r="E43" s="56">
        <f>MAX(C43:D43,0)</f>
        <v>0.17</v>
      </c>
      <c r="G43" s="1" t="str">
        <f>B43</f>
        <v>per 100 arrests</v>
      </c>
      <c r="L43" s="57">
        <v>100</v>
      </c>
      <c r="M43" s="57"/>
      <c r="R43" s="49"/>
    </row>
    <row r="44" spans="2:18" ht="15" hidden="1" customHeight="1" x14ac:dyDescent="0.25">
      <c r="B44" s="49" t="s">
        <v>88</v>
      </c>
      <c r="C44" s="56">
        <f>C8/100</f>
        <v>0.33</v>
      </c>
      <c r="D44" s="56">
        <f>E8/100</f>
        <v>0</v>
      </c>
      <c r="E44" s="56">
        <f>MAX(C44:D44,0)</f>
        <v>0.33</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v>
      </c>
      <c r="D48" s="56">
        <f>D42</f>
        <v>0</v>
      </c>
      <c r="E48" s="56">
        <f>MAX(C48:D48)</f>
        <v>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v>
      </c>
      <c r="D54" s="56">
        <f>D48</f>
        <v>0</v>
      </c>
      <c r="E54" s="56">
        <f>MAX(C54:D54)</f>
        <v>2</v>
      </c>
      <c r="G54" s="1" t="str">
        <f>G48</f>
        <v>per 1000 youth</v>
      </c>
      <c r="L54" s="58">
        <f>L48</f>
        <v>1000</v>
      </c>
      <c r="M54" s="58"/>
    </row>
    <row r="55" spans="2:18" ht="15" hidden="1" customHeight="1" x14ac:dyDescent="0.25">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x14ac:dyDescent="0.25">
      <c r="B56" s="49" t="str">
        <f t="shared" si="10"/>
        <v>per 100 referrals</v>
      </c>
      <c r="C56" s="49">
        <f t="shared" si="10"/>
        <v>0.33</v>
      </c>
      <c r="D56" s="49">
        <f t="shared" si="10"/>
        <v>0</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v>
      </c>
      <c r="D60" s="56">
        <f>D54</f>
        <v>0</v>
      </c>
      <c r="E60" s="56">
        <f>MAX(C60:D60)</f>
        <v>2</v>
      </c>
      <c r="G60" s="1" t="str">
        <f>G54</f>
        <v>per 1000 youth</v>
      </c>
      <c r="L60" s="58">
        <f>L54</f>
        <v>1000</v>
      </c>
      <c r="M60" s="58"/>
    </row>
    <row r="61" spans="2:18" ht="15" hidden="1" customHeight="1" x14ac:dyDescent="0.25">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x14ac:dyDescent="0.25">
      <c r="B62" s="49" t="str">
        <f t="shared" si="11"/>
        <v>per 100 referrals</v>
      </c>
      <c r="C62" s="49">
        <f t="shared" si="11"/>
        <v>0.33</v>
      </c>
      <c r="D62" s="49">
        <f t="shared" si="11"/>
        <v>0</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v>
      </c>
      <c r="D66" s="56">
        <f>D60</f>
        <v>0</v>
      </c>
      <c r="E66" s="56">
        <f>MAX(C66:D66)</f>
        <v>2</v>
      </c>
      <c r="G66" s="1" t="str">
        <f>G60</f>
        <v>per 1000 youth</v>
      </c>
      <c r="L66" s="58">
        <f>L60</f>
        <v>1000</v>
      </c>
      <c r="M66" s="58">
        <f>IF((B66=G66),1,2)</f>
        <v>1</v>
      </c>
    </row>
    <row r="67" spans="2:13" ht="15" hidden="1" customHeight="1" x14ac:dyDescent="0.25">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x14ac:dyDescent="0.25">
      <c r="B68" s="49" t="str">
        <f t="shared" si="12"/>
        <v>per 100 referrals</v>
      </c>
      <c r="C68" s="49">
        <f t="shared" si="12"/>
        <v>0.33</v>
      </c>
      <c r="D68" s="49">
        <f t="shared" si="12"/>
        <v>0</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Alpena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2000</v>
      </c>
      <c r="D6" s="34"/>
      <c r="E6" s="33">
        <f>'Data Entry'!H6</f>
        <v>26</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17</v>
      </c>
      <c r="D7" s="34">
        <f>IF((AND(C66&gt;0,C7&gt;0)),(C7/C66),0)</f>
        <v>8.5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26</v>
      </c>
      <c r="P7" s="42">
        <f t="shared" ref="P7:P15" si="4">C7</f>
        <v>17</v>
      </c>
      <c r="Q7" s="42">
        <f>C6-C7</f>
        <v>1983</v>
      </c>
      <c r="R7" s="42">
        <f t="shared" ref="R7:R15" si="5">SUM(N7:Q7)</f>
        <v>2026</v>
      </c>
      <c r="S7" s="30">
        <f t="shared" ref="S7:S15" si="6">R7*((((N7*Q7)-(O7*P7))^2))</f>
        <v>395807464</v>
      </c>
      <c r="T7" s="30">
        <f t="shared" ref="T7:T15" si="7">(N7+O7)*(P7+Q7)*(N7+P7)*(O7+Q7)</f>
        <v>1775956000</v>
      </c>
      <c r="U7" s="31">
        <f t="shared" ref="U7:U15" si="8">IF((S7&gt;0),S7/T7,"- -")</f>
        <v>0.22287008461921354</v>
      </c>
    </row>
    <row r="8" spans="2:21" ht="18" customHeight="1" x14ac:dyDescent="0.25">
      <c r="B8" s="32" t="str">
        <f>'Data Entry'!A8</f>
        <v>3. Refer to Juvenile Court</v>
      </c>
      <c r="C8" s="33">
        <f>'Data Entry'!C8</f>
        <v>33</v>
      </c>
      <c r="D8" s="34">
        <f>IF((AND(C67&gt;0,C8&gt;0)),(C8/C67),0)</f>
        <v>194.11764705882351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33</v>
      </c>
      <c r="Q8" s="42">
        <f>(C$67*L67)-C8</f>
        <v>-16</v>
      </c>
      <c r="R8" s="42">
        <f t="shared" si="5"/>
        <v>17.049999999999997</v>
      </c>
      <c r="S8" s="30">
        <f t="shared" si="6"/>
        <v>46.418625000000006</v>
      </c>
      <c r="T8" s="30">
        <f t="shared" si="7"/>
        <v>-447.39750000000004</v>
      </c>
      <c r="U8" s="31">
        <f t="shared" si="8"/>
        <v>-0.10375253549695741</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v>
      </c>
      <c r="R9" s="42">
        <f t="shared" si="5"/>
        <v>33</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6.0606060606060606</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31</v>
      </c>
      <c r="R10" s="42">
        <f t="shared" si="5"/>
        <v>33</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84.848484848484844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5</v>
      </c>
      <c r="R11" s="42">
        <f t="shared" si="5"/>
        <v>33</v>
      </c>
      <c r="S11" s="30">
        <f t="shared" si="6"/>
        <v>0</v>
      </c>
      <c r="T11" s="30">
        <f t="shared" si="7"/>
        <v>0</v>
      </c>
      <c r="U11" s="31" t="str">
        <f t="shared" si="8"/>
        <v>- -</v>
      </c>
    </row>
    <row r="12" spans="2:21" ht="18" customHeight="1" x14ac:dyDescent="0.25">
      <c r="B12" s="32" t="str">
        <f>'Data Entry'!A12</f>
        <v>7. Cases Resulting in Delinquent Findings</v>
      </c>
      <c r="C12" s="33">
        <f>'Data Entry'!C12</f>
        <v>17</v>
      </c>
      <c r="D12" s="34">
        <f>IF(((AND(C69&gt;0,C12&gt;0))),(C12/(C69)),0)</f>
        <v>60.714285714285708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11.000000000000004</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17.647058823529409</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14</v>
      </c>
      <c r="R14" s="42">
        <f t="shared" si="5"/>
        <v>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v>
      </c>
      <c r="D42" s="56">
        <f>E6/1000</f>
        <v>2.5999999999999999E-2</v>
      </c>
      <c r="E42" s="56">
        <f>MAX(C42:D42)</f>
        <v>2</v>
      </c>
      <c r="G42" s="1" t="str">
        <f>B42</f>
        <v>per 1000 youth</v>
      </c>
      <c r="L42" s="57">
        <v>1000</v>
      </c>
      <c r="M42" s="57"/>
      <c r="R42" s="49"/>
    </row>
    <row r="43" spans="2:18" ht="15" hidden="1" customHeight="1" x14ac:dyDescent="0.25">
      <c r="B43" s="49" t="s">
        <v>87</v>
      </c>
      <c r="C43" s="56">
        <f>C7/100</f>
        <v>0.17</v>
      </c>
      <c r="D43" s="56">
        <f>E7/100</f>
        <v>0</v>
      </c>
      <c r="E43" s="56">
        <f>MAX(C43:D43,0)</f>
        <v>0.17</v>
      </c>
      <c r="G43" s="1" t="str">
        <f>B43</f>
        <v>per 100 arrests</v>
      </c>
      <c r="L43" s="57">
        <v>100</v>
      </c>
      <c r="M43" s="57"/>
      <c r="R43" s="49"/>
    </row>
    <row r="44" spans="2:18" ht="15" hidden="1" customHeight="1" x14ac:dyDescent="0.25">
      <c r="B44" s="49" t="s">
        <v>88</v>
      </c>
      <c r="C44" s="56">
        <f>C8/100</f>
        <v>0.33</v>
      </c>
      <c r="D44" s="56">
        <f>E8/100</f>
        <v>0</v>
      </c>
      <c r="E44" s="56">
        <f>MAX(C44:D44,0)</f>
        <v>0.33</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0.17</v>
      </c>
      <c r="D46" s="49">
        <f>E12/100</f>
        <v>0</v>
      </c>
      <c r="E46" s="56">
        <f>MAX(C46:D46)</f>
        <v>0.17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v>
      </c>
      <c r="D48" s="56">
        <f>D42</f>
        <v>2.5999999999999999E-2</v>
      </c>
      <c r="E48" s="56">
        <f>MAX(C48:D48)</f>
        <v>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v>
      </c>
      <c r="D54" s="56">
        <f>D48</f>
        <v>2.5999999999999999E-2</v>
      </c>
      <c r="E54" s="56">
        <f>MAX(C54:D54)</f>
        <v>2</v>
      </c>
      <c r="G54" s="1" t="str">
        <f>G48</f>
        <v>per 1000 youth</v>
      </c>
      <c r="L54" s="58">
        <f>L48</f>
        <v>1000</v>
      </c>
      <c r="M54" s="58"/>
    </row>
    <row r="55" spans="2:18" ht="15" hidden="1" customHeight="1" x14ac:dyDescent="0.25">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x14ac:dyDescent="0.25">
      <c r="B56" s="49" t="str">
        <f t="shared" si="10"/>
        <v>per 100 referrals</v>
      </c>
      <c r="C56" s="49">
        <f t="shared" si="10"/>
        <v>0.33</v>
      </c>
      <c r="D56" s="49">
        <f t="shared" si="10"/>
        <v>0</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v>
      </c>
      <c r="D60" s="56">
        <f>D54</f>
        <v>2.5999999999999999E-2</v>
      </c>
      <c r="E60" s="56">
        <f>MAX(C60:D60)</f>
        <v>2</v>
      </c>
      <c r="G60" s="1" t="str">
        <f>G54</f>
        <v>per 1000 youth</v>
      </c>
      <c r="L60" s="58">
        <f>L54</f>
        <v>1000</v>
      </c>
      <c r="M60" s="58"/>
    </row>
    <row r="61" spans="2:18" ht="15" hidden="1" customHeight="1" x14ac:dyDescent="0.25">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x14ac:dyDescent="0.25">
      <c r="B62" s="49" t="str">
        <f t="shared" si="11"/>
        <v>per 100 referrals</v>
      </c>
      <c r="C62" s="49">
        <f t="shared" si="11"/>
        <v>0.33</v>
      </c>
      <c r="D62" s="49">
        <f t="shared" si="11"/>
        <v>0</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v>
      </c>
      <c r="D66" s="56">
        <f>D60</f>
        <v>2.5999999999999999E-2</v>
      </c>
      <c r="E66" s="56">
        <f>MAX(C66:D66)</f>
        <v>2</v>
      </c>
      <c r="G66" s="1" t="str">
        <f>G60</f>
        <v>per 1000 youth</v>
      </c>
      <c r="L66" s="58">
        <f>L60</f>
        <v>1000</v>
      </c>
      <c r="M66" s="58">
        <f>IF((B66=G66),1,2)</f>
        <v>1</v>
      </c>
    </row>
    <row r="67" spans="2:13" ht="15" hidden="1" customHeight="1" x14ac:dyDescent="0.25">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x14ac:dyDescent="0.25">
      <c r="B68" s="49" t="str">
        <f t="shared" si="12"/>
        <v>per 100 referrals</v>
      </c>
      <c r="C68" s="49">
        <f t="shared" si="12"/>
        <v>0.33</v>
      </c>
      <c r="D68" s="49">
        <f t="shared" si="12"/>
        <v>0</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U47JMPN4QEAR-1806752177-30149</_dlc_DocId>
    <_dlc_DocIdUrl xmlns="ac3811b5-0f3e-49e2-ba69-f2ffa0c782af">
      <Url>https://michiganphi.sharepoint.com/sites/CMDMC/_layouts/15/DocIdRedir.aspx?ID=U47JMPN4QEAR-1806752177-30149</Url>
      <Description>U47JMPN4QEAR-1806752177-30149</Description>
    </_dlc_DocIdUrl>
  </documentManagement>
</p:properties>
</file>

<file path=customXml/itemProps1.xml><?xml version="1.0" encoding="utf-8"?>
<ds:datastoreItem xmlns:ds="http://schemas.openxmlformats.org/officeDocument/2006/customXml" ds:itemID="{C3E1B531-27C0-4685-B1F9-FFCCD522CB3D}"/>
</file>

<file path=customXml/itemProps2.xml><?xml version="1.0" encoding="utf-8"?>
<ds:datastoreItem xmlns:ds="http://schemas.openxmlformats.org/officeDocument/2006/customXml" ds:itemID="{84ABC879-4625-4432-BBF6-80FCE33A208B}"/>
</file>

<file path=customXml/itemProps3.xml><?xml version="1.0" encoding="utf-8"?>
<ds:datastoreItem xmlns:ds="http://schemas.openxmlformats.org/officeDocument/2006/customXml" ds:itemID="{BA88D748-628B-4123-84EF-F1DE47656224}"/>
</file>

<file path=customXml/itemProps4.xml><?xml version="1.0" encoding="utf-8"?>
<ds:datastoreItem xmlns:ds="http://schemas.openxmlformats.org/officeDocument/2006/customXml" ds:itemID="{78F8D862-D05B-4777-A0CF-8C28E9F5F8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71d775e2-e6cc-43b2-a925-128427664e5d</vt:lpwstr>
  </property>
</Properties>
</file>