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368E2A68-6B4C-445E-98B0-A180F14105BC}"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7" i="1"/>
  <c r="B15" i="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F27" i="5"/>
  <c r="M66" i="5"/>
  <c r="F27" i="4"/>
  <c r="M66" i="4"/>
  <c r="F27" i="2"/>
  <c r="M66" i="2"/>
  <c r="M66" i="6"/>
  <c r="F27" i="6"/>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L56" i="8"/>
  <c r="E58" i="8"/>
  <c r="L64" i="8" s="1"/>
  <c r="L64" i="5"/>
  <c r="D64" i="5"/>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B64" i="8"/>
  <c r="C63" i="3"/>
  <c r="C64" i="8"/>
  <c r="D64" i="8"/>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70" i="5" l="1"/>
  <c r="D70" i="5"/>
  <c r="F14" i="5" s="1"/>
  <c r="B70" i="5"/>
  <c r="F33" i="5" s="1"/>
  <c r="C70" i="5"/>
  <c r="E70" i="5" s="1"/>
  <c r="L70" i="6"/>
  <c r="D63" i="8"/>
  <c r="E64" i="8"/>
  <c r="D70" i="8" s="1"/>
  <c r="F13" i="8" s="1"/>
  <c r="B70" i="3"/>
  <c r="M70" i="3" s="1"/>
  <c r="E63" i="3"/>
  <c r="C69" i="3" s="1"/>
  <c r="D15" i="3" s="1"/>
  <c r="C70" i="3"/>
  <c r="D14" i="3" s="1"/>
  <c r="L70" i="3"/>
  <c r="D70" i="6"/>
  <c r="F13" i="6" s="1"/>
  <c r="C63" i="8"/>
  <c r="L63" i="8"/>
  <c r="C69" i="7"/>
  <c r="D12" i="7" s="1"/>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O13"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6" l="1"/>
  <c r="D13" i="5"/>
  <c r="M70" i="5"/>
  <c r="F13" i="5"/>
  <c r="O14" i="5"/>
  <c r="E63" i="8"/>
  <c r="D69" i="8" s="1"/>
  <c r="F12" i="8" s="1"/>
  <c r="D14" i="5"/>
  <c r="Q14" i="5"/>
  <c r="R14" i="5" s="1"/>
  <c r="S14" i="5" s="1"/>
  <c r="U14" i="5" s="1"/>
  <c r="J14" i="5" s="1"/>
  <c r="M14" i="5" s="1"/>
  <c r="Q13" i="5"/>
  <c r="R13" i="5" s="1"/>
  <c r="S13" i="5" s="1"/>
  <c r="U13" i="5" s="1"/>
  <c r="J13" i="5" s="1"/>
  <c r="M13" i="5" s="1"/>
  <c r="B70" i="8"/>
  <c r="M70" i="8" s="1"/>
  <c r="C70" i="8"/>
  <c r="L70" i="8"/>
  <c r="F34" i="5"/>
  <c r="D12" i="3"/>
  <c r="B69" i="3"/>
  <c r="M69" i="3" s="1"/>
  <c r="L69" i="3"/>
  <c r="Q12" i="3" s="1"/>
  <c r="D69" i="3"/>
  <c r="E69" i="3" s="1"/>
  <c r="O15" i="7"/>
  <c r="B69" i="6"/>
  <c r="M69" i="6" s="1"/>
  <c r="F33" i="3"/>
  <c r="F34" i="3"/>
  <c r="D13" i="3"/>
  <c r="D14" i="6"/>
  <c r="O12" i="7"/>
  <c r="O13" i="6"/>
  <c r="F14" i="6"/>
  <c r="E70" i="3"/>
  <c r="Q13" i="3"/>
  <c r="Q12" i="7"/>
  <c r="E70" i="6"/>
  <c r="Q14" i="3"/>
  <c r="Q13" i="6"/>
  <c r="Q14" i="6"/>
  <c r="R14" i="6" s="1"/>
  <c r="S14" i="6" s="1"/>
  <c r="E69" i="7"/>
  <c r="O13" i="3"/>
  <c r="F14" i="3"/>
  <c r="D15" i="7"/>
  <c r="Q15" i="7"/>
  <c r="C69" i="6"/>
  <c r="D12" i="6" s="1"/>
  <c r="F12"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R10" i="3"/>
  <c r="S10" i="3" s="1"/>
  <c r="U10" i="3" s="1"/>
  <c r="J10" i="3" s="1"/>
  <c r="M10" i="3" s="1"/>
  <c r="G10" i="3" s="1"/>
  <c r="I11" i="16" s="1"/>
  <c r="F8" i="2"/>
  <c r="F14" i="8"/>
  <c r="T14" i="4"/>
  <c r="B70" i="2"/>
  <c r="F33" i="2" s="1"/>
  <c r="F35" i="3"/>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C70" i="2"/>
  <c r="D14" i="2" s="1"/>
  <c r="T14" i="5"/>
  <c r="K14" i="5"/>
  <c r="D70" i="2"/>
  <c r="O14" i="2" s="1"/>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B69" i="8" l="1"/>
  <c r="M69" i="8" s="1"/>
  <c r="C69" i="8"/>
  <c r="K13" i="5"/>
  <c r="Q14" i="8"/>
  <c r="L69" i="8"/>
  <c r="O15" i="8" s="1"/>
  <c r="E70" i="8"/>
  <c r="F33" i="8"/>
  <c r="D14" i="8"/>
  <c r="D13" i="8"/>
  <c r="Q13" i="8"/>
  <c r="T13" i="5"/>
  <c r="O14" i="8"/>
  <c r="O13" i="8"/>
  <c r="F34" i="8"/>
  <c r="F32" i="3"/>
  <c r="Q15" i="3"/>
  <c r="T15" i="3" s="1"/>
  <c r="O12" i="3"/>
  <c r="R12" i="3" s="1"/>
  <c r="S12" i="3" s="1"/>
  <c r="O15" i="6"/>
  <c r="O15" i="3"/>
  <c r="F12" i="3"/>
  <c r="R15" i="7"/>
  <c r="S15" i="7" s="1"/>
  <c r="U15" i="7" s="1"/>
  <c r="J15" i="7" s="1"/>
  <c r="M15" i="7" s="1"/>
  <c r="Q15" i="6"/>
  <c r="T15" i="6" s="1"/>
  <c r="F32" i="6"/>
  <c r="K15" i="7"/>
  <c r="O12" i="6"/>
  <c r="K13" i="6"/>
  <c r="F35" i="6"/>
  <c r="R13" i="3"/>
  <c r="S13" i="3" s="1"/>
  <c r="U13" i="3" s="1"/>
  <c r="J13" i="3" s="1"/>
  <c r="M13" i="3" s="1"/>
  <c r="G13" i="3" s="1"/>
  <c r="Q12" i="6"/>
  <c r="R14" i="3"/>
  <c r="S14" i="3" s="1"/>
  <c r="U14" i="3" s="1"/>
  <c r="J14" i="3" s="1"/>
  <c r="M14" i="3" s="1"/>
  <c r="G14" i="3" s="1"/>
  <c r="I15" i="16" s="1"/>
  <c r="R12" i="7"/>
  <c r="S12" i="7" s="1"/>
  <c r="U14" i="4"/>
  <c r="J14" i="4" s="1"/>
  <c r="L14" i="4" s="1"/>
  <c r="O15" i="16" s="1"/>
  <c r="K12" i="7"/>
  <c r="T14" i="3"/>
  <c r="T14" i="6"/>
  <c r="T12" i="7"/>
  <c r="K14" i="3"/>
  <c r="K14" i="6"/>
  <c r="R13" i="6"/>
  <c r="S13" i="6" s="1"/>
  <c r="U13" i="6" s="1"/>
  <c r="J13" i="6" s="1"/>
  <c r="M13" i="6" s="1"/>
  <c r="G13" i="6" s="1"/>
  <c r="G13" i="9" s="1"/>
  <c r="T13" i="3"/>
  <c r="K13" i="3"/>
  <c r="T13" i="6"/>
  <c r="U10" i="4"/>
  <c r="J10" i="4" s="1"/>
  <c r="M10" i="4" s="1"/>
  <c r="G10" i="4" s="1"/>
  <c r="G11" i="16" s="1"/>
  <c r="T15" i="7"/>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T8" i="6"/>
  <c r="K8" i="6"/>
  <c r="O12" i="5"/>
  <c r="R12" i="5" s="1"/>
  <c r="S12" i="5" s="1"/>
  <c r="U12" i="5" s="1"/>
  <c r="J12" i="5" s="1"/>
  <c r="F35" i="5"/>
  <c r="F12" i="5"/>
  <c r="M69" i="5"/>
  <c r="K8" i="2"/>
  <c r="M70" i="2"/>
  <c r="F9" i="7"/>
  <c r="K12" i="6"/>
  <c r="O11" i="7"/>
  <c r="F34" i="2"/>
  <c r="O10" i="7"/>
  <c r="F11" i="7"/>
  <c r="O9" i="7"/>
  <c r="R9" i="7" s="1"/>
  <c r="S9" i="7" s="1"/>
  <c r="L11" i="3"/>
  <c r="P12" i="16" s="1"/>
  <c r="E69" i="5"/>
  <c r="K12" i="3"/>
  <c r="D15" i="5"/>
  <c r="T12" i="3"/>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R14" i="8" l="1"/>
  <c r="S14" i="8" s="1"/>
  <c r="K14" i="8"/>
  <c r="T13" i="8"/>
  <c r="T14" i="8"/>
  <c r="R13" i="8"/>
  <c r="S13" i="8" s="1"/>
  <c r="K13" i="8"/>
  <c r="R15" i="6"/>
  <c r="S15" i="6" s="1"/>
  <c r="U15" i="6" s="1"/>
  <c r="J15" i="6" s="1"/>
  <c r="M15" i="6" s="1"/>
  <c r="G15" i="6" s="1"/>
  <c r="R15" i="3"/>
  <c r="S15" i="3" s="1"/>
  <c r="U15" i="3" s="1"/>
  <c r="J15" i="3" s="1"/>
  <c r="M15" i="3" s="1"/>
  <c r="G15" i="3" s="1"/>
  <c r="I16" i="16" s="1"/>
  <c r="K15" i="3"/>
  <c r="L15" i="3" s="1"/>
  <c r="P16" i="16" s="1"/>
  <c r="K15" i="6"/>
  <c r="I15" i="13"/>
  <c r="L14" i="3"/>
  <c r="P15" i="16" s="1"/>
  <c r="T12" i="6"/>
  <c r="L15" i="7"/>
  <c r="S16" i="16" s="1"/>
  <c r="R12" i="6"/>
  <c r="S12" i="6" s="1"/>
  <c r="U12" i="6" s="1"/>
  <c r="J12" i="6" s="1"/>
  <c r="M12" i="6" s="1"/>
  <c r="G12" i="6" s="1"/>
  <c r="E14" i="9"/>
  <c r="N30" i="3"/>
  <c r="M14" i="4"/>
  <c r="G14" i="4" s="1"/>
  <c r="G15" i="16" s="1"/>
  <c r="L13" i="3"/>
  <c r="P14" i="16" s="1"/>
  <c r="N30" i="4"/>
  <c r="U13" i="8"/>
  <c r="J13" i="8" s="1"/>
  <c r="M13" i="8" s="1"/>
  <c r="G13" i="8" s="1"/>
  <c r="K14" i="16" s="1"/>
  <c r="U12" i="7"/>
  <c r="J12" i="7" s="1"/>
  <c r="U14" i="8"/>
  <c r="J14" i="8" s="1"/>
  <c r="N30" i="8" s="1"/>
  <c r="M14" i="13"/>
  <c r="L13" i="6"/>
  <c r="R14" i="16" s="1"/>
  <c r="G11" i="13"/>
  <c r="D10" i="9"/>
  <c r="L10" i="4"/>
  <c r="O11" i="16" s="1"/>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N14" i="9" l="1"/>
  <c r="V15" i="13"/>
  <c r="V14" i="13"/>
  <c r="U11" i="7"/>
  <c r="J11" i="7" s="1"/>
  <c r="L15" i="6"/>
  <c r="R16" i="16" s="1"/>
  <c r="N13" i="9"/>
  <c r="Y16" i="13"/>
  <c r="L12" i="6"/>
  <c r="R13" i="16" s="1"/>
  <c r="Q15" i="9"/>
  <c r="G15" i="13"/>
  <c r="D14" i="9"/>
  <c r="X14" i="13"/>
  <c r="L13" i="8"/>
  <c r="T14" i="16" s="1"/>
  <c r="P13" i="9"/>
  <c r="M12" i="7"/>
  <c r="L12" i="7"/>
  <c r="Q14" i="13"/>
  <c r="U13" i="2"/>
  <c r="J13" i="2" s="1"/>
  <c r="M13" i="2" s="1"/>
  <c r="G13" i="2" s="1"/>
  <c r="E14" i="16" s="1"/>
  <c r="I13" i="9"/>
  <c r="M14" i="8"/>
  <c r="G14" i="8" s="1"/>
  <c r="K15" i="16" s="1"/>
  <c r="L14" i="8"/>
  <c r="T15" i="16" s="1"/>
  <c r="U11" i="13"/>
  <c r="U12" i="8"/>
  <c r="J12" i="8" s="1"/>
  <c r="M12" i="8" s="1"/>
  <c r="G12" i="8" s="1"/>
  <c r="K13" i="16" s="1"/>
  <c r="U14" i="2"/>
  <c r="J14" i="2" s="1"/>
  <c r="M14" i="2" s="1"/>
  <c r="G14" i="2" s="1"/>
  <c r="E15" i="16" s="1"/>
  <c r="U10" i="7"/>
  <c r="J10" i="7" s="1"/>
  <c r="M10" i="7" s="1"/>
  <c r="M10" i="9"/>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X13" i="13"/>
  <c r="X16" i="13"/>
  <c r="P12" i="9"/>
  <c r="R13" i="9"/>
  <c r="Z14" i="13"/>
  <c r="C13" i="9"/>
  <c r="E14" i="13"/>
  <c r="L13" i="2"/>
  <c r="N14" i="16" s="1"/>
  <c r="S13" i="16"/>
  <c r="Q12" i="9"/>
  <c r="Y13" i="13"/>
  <c r="R14" i="9"/>
  <c r="Q15" i="13"/>
  <c r="I14" i="9"/>
  <c r="Z15" i="13"/>
  <c r="L12" i="8"/>
  <c r="T13" i="16" s="1"/>
  <c r="E15" i="13"/>
  <c r="L10" i="7"/>
  <c r="S11" i="16" s="1"/>
  <c r="L14" i="2"/>
  <c r="N15" i="16" s="1"/>
  <c r="C14" i="9"/>
  <c r="N30" i="2"/>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Q10" i="9"/>
  <c r="Z13" i="13"/>
  <c r="R12" i="9"/>
  <c r="Y11" i="13"/>
  <c r="T15" i="13"/>
  <c r="L14"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<sst xmlns="http://schemas.openxmlformats.org/spreadsheetml/2006/main" count="654" uniqueCount="141">
  <si>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</si>
  <si>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</si>
  <si>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</si>
  <si>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</si>
  <si>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</si>
  <si>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</si>
  <si>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</si>
  <si>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</si>
  <si>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</si>
  <si>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</si>
  <si>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</si>
  <si>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</si>
  <si>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</si>
  <si>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</si>
  <si>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</si>
  <si>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</si>
  <si>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</si>
  <si>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</si>
  <si>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</si>
  <si>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</si>
  <si>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</si>
  <si>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</si>
  <si>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</si>
  <si>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</si>
  <si>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</si>
  <si>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</si>
  <si>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</si>
  <si>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</si>
  <si>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</si>
  <si>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</si>
  <si>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</si>
  <si>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</si>
  <si>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</si>
  <si>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</si>
  <si>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</si>
  <si>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</si>
  <si>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</si>
  <si>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</si>
  <si>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</si>
  <si>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</si>
  <si>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</si>
  <si>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</si>
  <si>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</si>
  <si>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</si>
  <si>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</si>
  <si>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</si>
  <si>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</si>
  <si>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</si>
  <si>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</si>
  <si>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</si>
  <si>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</si>
  <si>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</si>
  <si>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</si>
  <si>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</si>
  <si>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</si>
  <si>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</si>
  <si>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</si>
  <si>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</si>
  <si>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</si>
  <si>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</si>
  <si>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</si>
  <si>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</si>
  <si>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</si>
  <si>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</si>
  <si>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</si>
  <si>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</si>
  <si>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</si>
  <si>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</si>
  <si>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</si>
  <si>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</si>
  <si>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</si>
  <si>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</si>
  <si>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</si>
  <si>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</si>
  <si>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</si>
  <si>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</si>
  <si>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</si>
  <si>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</si>
  <si>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</si>
  <si>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</si>
  <si>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</si>
  <si>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</si>
  <si>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</si>
  <si>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</si>
  <si>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</si>
  <si>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</si>
  <si>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</si>
  <si>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</si>
  <si>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</si>
  <si>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</si>
  <si>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</si>
  <si>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</si>
  <si>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</si>
  <si>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</si>
  <si>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</si>
  <si>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</si>
  <si>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</si>
  <si>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</si>
  <si>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</si>
  <si>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</si>
  <si>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</si>
  <si>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</si>
  <si>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</si>
  <si>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</si>
  <si>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</si>
  <si>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</si>
  <si>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</si>
  <si>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</si>
  <si>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</si>
  <si>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</si>
  <si>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</si>
  <si>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</si>
  <si>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</si>
  <si>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</si>
  <si>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</si>
  <si>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</si>
  <si>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</si>
  <si>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</si>
  <si>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</si>
  <si>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</si>
  <si>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</si>
  <si>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</si>
  <si>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</si>
  <si>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</si>
  <si>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</si>
  <si>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</si>
  <si>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</si>
  <si>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</si>
  <si>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</si>
  <si>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</si>
  <si>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</si>
  <si>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</si>
  <si>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</si>
  <si>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</si>
  <si>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</si>
  <si>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</si>
  <si>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</si>
  <si>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Allegan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</si>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</sst>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Allegan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N=45</c:v>
                </c:pt>
                <c:pt idx="2">
                  <c:v>Delinquent Findings, total N=62</c:v>
                </c:pt>
                <c:pt idx="3">
                  <c:v>Petitions, total N=132</c:v>
                </c:pt>
                <c:pt idx="4">
                  <c:v>Detentions, total N=26</c:v>
                </c:pt>
                <c:pt idx="5">
                  <c:v>Referrals, total N=169</c:v>
                </c:pt>
                <c:pt idx="6">
                  <c:v>Arrests, total N=97</c:v>
                </c:pt>
                <c:pt idx="7">
                  <c:v>Population, total N=11600</c:v>
                </c:pt>
              </c:strCache>
            </c:strRef>
          </c:cat>
          <c:val>
            <c:numRef>
              <c:f>'Stacked 100%'!$B$7:$B$14</c:f>
              <c:numCache>
                <c:formatCode>0%</c:formatCode>
                <c:ptCount val="8"/>
                <c:pt idx="0">
                  <c:v>0</c:v>
                </c:pt>
                <c:pt idx="1">
                  <c:v>0</c:v>
                </c:pt>
                <c:pt idx="2">
                  <c:v>0.14516129032258066</c:v>
                </c:pt>
                <c:pt idx="3">
                  <c:v>0.15151515151515152</c:v>
                </c:pt>
                <c:pt idx="4">
                  <c:v>0.34615384615384615</c:v>
                </c:pt>
                <c:pt idx="5">
                  <c:v>0.19526627218934911</c:v>
                </c:pt>
                <c:pt idx="6">
                  <c:v>0.18556701030927836</c:v>
                </c:pt>
                <c:pt idx="7">
                  <c:v>2.8620689655172414E-2</c:v>
                </c:pt>
              </c:numCache>
            </c:numRef>
          </c:val>
          <c:extLst>
            <c:ext xmlns:c16="http://schemas.microsoft.com/office/drawing/2014/chart" uri="{C3380CC4-5D6E-409C-BE32-E72D297353CC}">
              <c16:uniqueId val="{00000000-E241-4E7D-9DA3-8C8886DAA44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N=45</c:v>
                </c:pt>
                <c:pt idx="2">
                  <c:v>Delinquent Findings, total N=62</c:v>
                </c:pt>
                <c:pt idx="3">
                  <c:v>Petitions, total N=132</c:v>
                </c:pt>
                <c:pt idx="4">
                  <c:v>Detentions, total N=26</c:v>
                </c:pt>
                <c:pt idx="5">
                  <c:v>Referrals, total N=169</c:v>
                </c:pt>
                <c:pt idx="6">
                  <c:v>Arrests, total N=97</c:v>
                </c:pt>
                <c:pt idx="7">
                  <c:v>Population, total N=11600</c:v>
                </c:pt>
              </c:strCache>
            </c:strRef>
          </c:cat>
          <c:val>
            <c:numRef>
              <c:f>'Stacked 100%'!$C$7:$C$14</c:f>
              <c:numCache>
                <c:formatCode>0%</c:formatCode>
                <c:ptCount val="8"/>
                <c:pt idx="0">
                  <c:v>0</c:v>
                </c:pt>
                <c:pt idx="1">
                  <c:v>0</c:v>
                </c:pt>
                <c:pt idx="2">
                  <c:v>8.0645161290322578E-2</c:v>
                </c:pt>
                <c:pt idx="3">
                  <c:v>5.3030303030303032E-2</c:v>
                </c:pt>
                <c:pt idx="4">
                  <c:v>0</c:v>
                </c:pt>
                <c:pt idx="5">
                  <c:v>5.3254437869822487E-2</c:v>
                </c:pt>
                <c:pt idx="6">
                  <c:v>0</c:v>
                </c:pt>
                <c:pt idx="7">
                  <c:v>0.12517241379310345</c:v>
                </c:pt>
              </c:numCache>
            </c:numRef>
          </c:val>
          <c:extLst>
            <c:ext xmlns:c16="http://schemas.microsoft.com/office/drawing/2014/chart" uri="{C3380CC4-5D6E-409C-BE32-E72D297353CC}">
              <c16:uniqueId val="{00000001-E241-4E7D-9DA3-8C8886DAA44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N=45</c:v>
                </c:pt>
                <c:pt idx="2">
                  <c:v>Delinquent Findings, total N=62</c:v>
                </c:pt>
                <c:pt idx="3">
                  <c:v>Petitions, total N=132</c:v>
                </c:pt>
                <c:pt idx="4">
                  <c:v>Detentions, total N=26</c:v>
                </c:pt>
                <c:pt idx="5">
                  <c:v>Referrals, total N=169</c:v>
                </c:pt>
                <c:pt idx="6">
                  <c:v>Arrests, total N=97</c:v>
                </c:pt>
                <c:pt idx="7">
                  <c:v>Population, total N=11600</c:v>
                </c:pt>
              </c:strCache>
            </c:strRef>
          </c:cat>
          <c:val>
            <c:numRef>
              <c:f>'Stacked 100%'!$H$7:$H$14</c:f>
              <c:numCache>
                <c:formatCode>0%</c:formatCode>
                <c:ptCount val="8"/>
                <c:pt idx="0">
                  <c:v>0</c:v>
                </c:pt>
                <c:pt idx="1">
                  <c:v>0</c:v>
                </c:pt>
                <c:pt idx="2">
                  <c:v>2.6014568158168571E-4</c:v>
                </c:pt>
                <c:pt idx="3">
                  <c:v>5.7392102846648301E-5</c:v>
                </c:pt>
                <c:pt idx="4">
                  <c:v>2.9585798816568051E-3</c:v>
                </c:pt>
                <c:pt idx="5">
                  <c:v>2.4508945765204304E-4</c:v>
                </c:pt>
                <c:pt idx="6">
                  <c:v>0</c:v>
                </c:pt>
                <c:pt idx="7">
                  <c:v>1.4194411414982165E-6</c:v>
                </c:pt>
              </c:numCache>
            </c:numRef>
          </c:val>
          <c:extLst>
            <c:ext xmlns:c16="http://schemas.microsoft.com/office/drawing/2014/chart" uri="{C3380CC4-5D6E-409C-BE32-E72D297353CC}">
              <c16:uniqueId val="{00000002-E241-4E7D-9DA3-8C8886DAA44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N=45</c:v>
                </c:pt>
                <c:pt idx="2">
                  <c:v>Delinquent Findings, total N=62</c:v>
                </c:pt>
                <c:pt idx="3">
                  <c:v>Petitions, total N=132</c:v>
                </c:pt>
                <c:pt idx="4">
                  <c:v>Detentions, total N=26</c:v>
                </c:pt>
                <c:pt idx="5">
                  <c:v>Referrals, total N=169</c:v>
                </c:pt>
                <c:pt idx="6">
                  <c:v>Arrests, total N=97</c:v>
                </c:pt>
                <c:pt idx="7">
                  <c:v>Population, total N=11600</c:v>
                </c:pt>
              </c:strCache>
            </c:strRef>
          </c:cat>
          <c:val>
            <c:numRef>
              <c:f>'Stacked 100%'!$I$7:$I$14</c:f>
              <c:numCache>
                <c:formatCode>0%</c:formatCode>
                <c:ptCount val="8"/>
                <c:pt idx="0">
                  <c:v>0</c:v>
                </c:pt>
                <c:pt idx="1">
                  <c:v>1</c:v>
                </c:pt>
                <c:pt idx="2">
                  <c:v>0.75806451612903225</c:v>
                </c:pt>
                <c:pt idx="3">
                  <c:v>0.78787878787878785</c:v>
                </c:pt>
                <c:pt idx="4">
                  <c:v>0.57692307692307687</c:v>
                </c:pt>
                <c:pt idx="5">
                  <c:v>0.7100591715976331</c:v>
                </c:pt>
                <c:pt idx="6">
                  <c:v>0.77319587628865982</c:v>
                </c:pt>
                <c:pt idx="7">
                  <c:v>0.82974137931034486</c:v>
                </c:pt>
              </c:numCache>
            </c:numRef>
          </c:val>
          <c:extLst>
            <c:ext xmlns:c16="http://schemas.microsoft.com/office/drawing/2014/chart" uri="{C3380CC4-5D6E-409C-BE32-E72D297353CC}">
              <c16:uniqueId val="{00000003-E241-4E7D-9DA3-8C8886DAA441}"/>
            </c:ext>
          </c:extLst>
        </c:ser>
        <c:dLbls>
          <c:showLegendKey val="0"/>
          <c:showVal val="0"/>
          <c:showCatName val="0"/>
          <c:showSerName val="0"/>
          <c:showPercent val="0"/>
          <c:showBubbleSize val="0"/>
        </c:dLbls>
        <c:gapWidth val="150"/>
        <c:overlap val="100"/>
        <c:axId val="104347904"/>
        <c:axId val="107254144"/>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N=45</c:v>
                </c:pt>
                <c:pt idx="2">
                  <c:v>Delinquent Findings, total N=62</c:v>
                </c:pt>
                <c:pt idx="3">
                  <c:v>Petitions, total N=132</c:v>
                </c:pt>
                <c:pt idx="4">
                  <c:v>Detentions, total N=26</c:v>
                </c:pt>
                <c:pt idx="5">
                  <c:v>Referrals, total N=169</c:v>
                </c:pt>
                <c:pt idx="6">
                  <c:v>Arrests, total N=97</c:v>
                </c:pt>
                <c:pt idx="7">
                  <c:v>Population, total N=11600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241-4E7D-9DA3-8C8886DAA441}"/>
            </c:ext>
          </c:extLst>
        </c:ser>
        <c:dLbls>
          <c:showLegendKey val="0"/>
          <c:showVal val="0"/>
          <c:showCatName val="0"/>
          <c:showSerName val="0"/>
          <c:showPercent val="0"/>
          <c:showBubbleSize val="0"/>
        </c:dLbls>
        <c:gapWidth val="150"/>
        <c:overlap val="100"/>
        <c:axId val="107897600"/>
        <c:axId val="107256832"/>
      </c:barChart>
      <c:catAx>
        <c:axId val="104347904"/>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54144"/>
        <c:crosses val="autoZero"/>
        <c:auto val="1"/>
        <c:lblAlgn val="ctr"/>
        <c:lblOffset val="100"/>
        <c:noMultiLvlLbl val="0"/>
      </c:catAx>
      <c:valAx>
        <c:axId val="107254144"/>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7904"/>
        <c:crosses val="autoZero"/>
        <c:crossBetween val="between"/>
      </c:valAx>
      <c:valAx>
        <c:axId val="107256832"/>
        <c:scaling>
          <c:orientation val="minMax"/>
        </c:scaling>
        <c:delete val="1"/>
        <c:axPos val="t"/>
        <c:numFmt formatCode="0%" sourceLinked="1"/>
        <c:majorTickMark val="out"/>
        <c:minorTickMark val="none"/>
        <c:tickLblPos val="nextTo"/>
        <c:crossAx val="107897600"/>
        <c:crosses val="max"/>
        <c:crossBetween val="between"/>
      </c:valAx>
      <c:catAx>
        <c:axId val="107897600"/>
        <c:scaling>
          <c:orientation val="minMax"/>
        </c:scaling>
        <c:delete val="1"/>
        <c:axPos val="l"/>
        <c:numFmt formatCode="General" sourceLinked="1"/>
        <c:majorTickMark val="out"/>
        <c:minorTickMark val="none"/>
        <c:tickLblPos val="nextTo"/>
        <c:crossAx val="1072568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11600</v>
      </c>
      <c r="C6" s="11">
        <v>9625</v>
      </c>
      <c r="D6" s="11">
        <v>332</v>
      </c>
      <c r="E6" s="11">
        <v>1452</v>
      </c>
      <c r="F6" s="11">
        <v>108</v>
      </c>
      <c r="G6" s="11"/>
      <c r="H6" s="11">
        <v>83</v>
      </c>
      <c r="I6" s="11"/>
      <c r="J6" s="91">
        <f>SUM(D6:I6)</f>
        <v>1975</v>
      </c>
      <c r="K6" s="92"/>
    </row>
    <row r="7" spans="1:11" ht="15.75" customHeight="1" thickBot="1" x14ac:dyDescent="0.25">
      <c r="A7" s="10" t="s">
        <v>8</v>
      </c>
      <c r="B7" s="11">
        <f t="shared" ref="B7:B15" si="0">SUM(C7:I7)+K7</f>
        <v>97</v>
      </c>
      <c r="C7" s="11">
        <v>75</v>
      </c>
      <c r="D7" s="11">
        <v>18</v>
      </c>
      <c r="E7" s="11"/>
      <c r="F7" s="11"/>
      <c r="G7" s="11"/>
      <c r="H7" s="11"/>
      <c r="I7" s="11"/>
      <c r="J7" s="91">
        <f t="shared" ref="J7:J15" si="1">SUM(D7:I7)</f>
        <v>18</v>
      </c>
      <c r="K7" s="92">
        <v>4</v>
      </c>
    </row>
    <row r="8" spans="1:11" ht="15.75" customHeight="1" thickBot="1" x14ac:dyDescent="0.25">
      <c r="A8" s="10" t="s">
        <v>9</v>
      </c>
      <c r="B8" s="11">
        <f t="shared" si="0"/>
        <v>169</v>
      </c>
      <c r="C8" s="11">
        <v>120</v>
      </c>
      <c r="D8" s="11">
        <v>33</v>
      </c>
      <c r="E8" s="11">
        <v>9</v>
      </c>
      <c r="F8" s="11">
        <v>1</v>
      </c>
      <c r="G8" s="11"/>
      <c r="H8" s="11"/>
      <c r="I8" s="11">
        <v>6</v>
      </c>
      <c r="J8" s="91">
        <f t="shared" si="1"/>
        <v>49</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26</v>
      </c>
      <c r="C10" s="11">
        <v>15</v>
      </c>
      <c r="D10" s="11">
        <v>9</v>
      </c>
      <c r="E10" s="11"/>
      <c r="F10" s="11"/>
      <c r="G10" s="11"/>
      <c r="H10" s="11"/>
      <c r="I10" s="11">
        <v>2</v>
      </c>
      <c r="J10" s="91">
        <f t="shared" si="1"/>
        <v>11</v>
      </c>
      <c r="K10" s="92"/>
    </row>
    <row r="11" spans="1:11" ht="15.75" customHeight="1" thickBot="1" x14ac:dyDescent="0.25">
      <c r="A11" s="10" t="s">
        <v>12</v>
      </c>
      <c r="B11" s="11">
        <f t="shared" si="0"/>
        <v>132</v>
      </c>
      <c r="C11" s="11">
        <v>104</v>
      </c>
      <c r="D11" s="11">
        <v>20</v>
      </c>
      <c r="E11" s="11">
        <v>7</v>
      </c>
      <c r="F11" s="11"/>
      <c r="G11" s="11"/>
      <c r="H11" s="11"/>
      <c r="I11" s="11">
        <v>1</v>
      </c>
      <c r="J11" s="91">
        <f t="shared" si="1"/>
        <v>28</v>
      </c>
      <c r="K11" s="92"/>
    </row>
    <row r="12" spans="1:11" ht="15.75" customHeight="1" thickBot="1" x14ac:dyDescent="0.25">
      <c r="A12" s="10" t="s">
        <v>13</v>
      </c>
      <c r="B12" s="11">
        <f t="shared" si="0"/>
        <v>62</v>
      </c>
      <c r="C12" s="11">
        <v>47</v>
      </c>
      <c r="D12" s="11">
        <v>9</v>
      </c>
      <c r="E12" s="11">
        <v>5</v>
      </c>
      <c r="F12" s="11"/>
      <c r="G12" s="11"/>
      <c r="H12" s="11"/>
      <c r="I12" s="11">
        <v>1</v>
      </c>
      <c r="J12" s="91">
        <f t="shared" si="1"/>
        <v>15</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45</v>
      </c>
      <c r="C14" s="11">
        <v>45</v>
      </c>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Allegan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9625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75</v>
      </c>
      <c r="D7" s="34">
        <f>IF((AND(C66&gt;0,C7&gt;0)),(C7/C66),0)</f>
        <v>7.7922077922077921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75</v>
      </c>
      <c r="Q7" s="42">
        <f>C6-C7</f>
        <v>9550</v>
      </c>
      <c r="R7" s="42">
        <f t="shared" ref="R7:R15" si="5">SUM(N7:Q7)</f>
        <v>9625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120</v>
      </c>
      <c r="D8" s="34">
        <f>IF((AND(C67&gt;0,C8&gt;0)),(C8/C67),0)</f>
        <v>160</v>
      </c>
      <c r="E8" s="33">
        <f>'Data Entry'!I8</f>
        <v>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6</v>
      </c>
      <c r="O8" s="42">
        <f>((D67*L67)-E8)+0.05</f>
        <v>-5.95</v>
      </c>
      <c r="P8" s="42">
        <f t="shared" si="4"/>
        <v>120</v>
      </c>
      <c r="Q8" s="42">
        <f>(C$67*L67)-C8</f>
        <v>-45</v>
      </c>
      <c r="R8" s="42">
        <f t="shared" si="5"/>
        <v>75.05</v>
      </c>
      <c r="S8" s="30">
        <f t="shared" si="6"/>
        <v>14795056.799999999</v>
      </c>
      <c r="T8" s="30">
        <f t="shared" si="7"/>
        <v>-24073.874999999913</v>
      </c>
      <c r="U8" s="31">
        <f t="shared" si="8"/>
        <v>-614.56897985887406</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120</v>
      </c>
      <c r="R9" s="42">
        <f t="shared" si="5"/>
        <v>126</v>
      </c>
      <c r="S9" s="30">
        <f t="shared" si="6"/>
        <v>0</v>
      </c>
      <c r="T9" s="30">
        <f t="shared" si="7"/>
        <v>0</v>
      </c>
      <c r="U9" s="31" t="str">
        <f t="shared" si="8"/>
        <v>- -</v>
      </c>
    </row>
    <row r="10" spans="2:21" ht="18" customHeight="1" x14ac:dyDescent="0.25">
      <c r="B10" s="32" t="str">
        <f>'Data Entry'!A10</f>
        <v>5. Cases Involving Secure Detention</v>
      </c>
      <c r="C10" s="33">
        <f>'Data Entry'!C10</f>
        <v>15</v>
      </c>
      <c r="D10" s="34">
        <f>IF(((AND(C68&gt;0,C10&gt;0))),(C10/(C68)),0)</f>
        <v>12.5</v>
      </c>
      <c r="E10" s="33">
        <f>'Data Entry'!I10</f>
        <v>2</v>
      </c>
      <c r="F10" s="34">
        <f>IF(((AND($E$10&gt;0,$D$68&gt;0))),($E$10/($D$68)),0)</f>
        <v>33.333333333333336</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2</v>
      </c>
      <c r="O10" s="42">
        <f>(D$68*L68)-E10</f>
        <v>4</v>
      </c>
      <c r="P10" s="42">
        <f t="shared" si="4"/>
        <v>15</v>
      </c>
      <c r="Q10" s="42">
        <f>(C$68*L68)-C10</f>
        <v>105</v>
      </c>
      <c r="R10" s="42">
        <f t="shared" si="5"/>
        <v>126</v>
      </c>
      <c r="S10" s="30">
        <f t="shared" si="6"/>
        <v>2835000</v>
      </c>
      <c r="T10" s="30">
        <f t="shared" si="7"/>
        <v>1334160</v>
      </c>
      <c r="U10" s="31">
        <f t="shared" si="8"/>
        <v>2.124932541824069</v>
      </c>
    </row>
    <row r="11" spans="2:21" ht="18" customHeight="1" x14ac:dyDescent="0.25">
      <c r="B11" s="32" t="str">
        <f>'Data Entry'!A11</f>
        <v>6. Cases Petitioned (Charge Filed)</v>
      </c>
      <c r="C11" s="33">
        <f>'Data Entry'!C11</f>
        <v>104</v>
      </c>
      <c r="D11" s="34">
        <f>IF(((AND(C68&gt;0,C11&gt;0))),(C11/(C68)),0)</f>
        <v>86.666666666666671</v>
      </c>
      <c r="E11" s="33">
        <f>'Data Entry'!I11</f>
        <v>1</v>
      </c>
      <c r="F11" s="34">
        <f>IF(((AND($E$11&gt;0,$D$68&gt;0))),($E$11/($D$68)),0)</f>
        <v>16.666666666666668</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1</v>
      </c>
      <c r="O11" s="42">
        <f>(D$68*L68)-E11</f>
        <v>5</v>
      </c>
      <c r="P11" s="42">
        <f t="shared" si="4"/>
        <v>104</v>
      </c>
      <c r="Q11" s="42">
        <f>(C$68*L68)-C11</f>
        <v>16</v>
      </c>
      <c r="R11" s="42">
        <f t="shared" si="5"/>
        <v>126</v>
      </c>
      <c r="S11" s="30">
        <f t="shared" si="6"/>
        <v>32006016</v>
      </c>
      <c r="T11" s="30">
        <f t="shared" si="7"/>
        <v>1587600</v>
      </c>
      <c r="U11" s="31">
        <f t="shared" si="8"/>
        <v>20.16</v>
      </c>
    </row>
    <row r="12" spans="2:21" ht="18" customHeight="1" x14ac:dyDescent="0.25">
      <c r="B12" s="32" t="str">
        <f>'Data Entry'!A12</f>
        <v>7. Cases Resulting in Delinquent Findings</v>
      </c>
      <c r="C12" s="33">
        <f>'Data Entry'!C12</f>
        <v>47</v>
      </c>
      <c r="D12" s="34">
        <f>IF(((AND(C69&gt;0,C12&gt;0))),(C12/(C69)),0)</f>
        <v>45.192307692307693</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47</v>
      </c>
      <c r="Q12" s="42">
        <f>(C69*L69)-C12</f>
        <v>57</v>
      </c>
      <c r="R12" s="42">
        <f t="shared" si="5"/>
        <v>105</v>
      </c>
      <c r="S12" s="30">
        <f t="shared" si="6"/>
        <v>341145</v>
      </c>
      <c r="T12" s="30">
        <f t="shared" si="7"/>
        <v>284544</v>
      </c>
      <c r="U12" s="31">
        <f t="shared" si="8"/>
        <v>1.1989182692307692</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47</v>
      </c>
      <c r="R13" s="42">
        <f t="shared" si="5"/>
        <v>48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45</v>
      </c>
      <c r="D14" s="34">
        <f>IF(((AND(C70&gt;0,C14&gt;0))), ((C14/(C70))),0)</f>
        <v>95.744680851063833</v>
      </c>
      <c r="E14" s="33">
        <f>'Data Entry'!I14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0</v>
      </c>
      <c r="O14" s="42">
        <f>(D70*L70)-E14</f>
        <v>1</v>
      </c>
      <c r="P14" s="42">
        <f t="shared" si="4"/>
        <v>45</v>
      </c>
      <c r="Q14" s="42">
        <f>(C70*L70)-C14</f>
        <v>2</v>
      </c>
      <c r="R14" s="42">
        <f t="shared" si="5"/>
        <v>48</v>
      </c>
      <c r="S14" s="30">
        <f t="shared" si="6"/>
        <v>97200</v>
      </c>
      <c r="T14" s="30">
        <f t="shared" si="7"/>
        <v>6345</v>
      </c>
      <c r="U14" s="31">
        <f t="shared" si="8"/>
        <v>15.319148936170214</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104</v>
      </c>
      <c r="R15" s="42">
        <f t="shared" si="5"/>
        <v>105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9.625</v>
      </c>
      <c r="D42" s="56">
        <f>E6/1000</f>
        <v>0</v>
      </c>
      <c r="E42" s="56">
        <f>MAX(C42:D42)</f>
        <v>9.625</v>
      </c>
      <c r="G42" s="1" t="str">
        <f>B42</f>
        <v>per 1000 youth</v>
      </c>
      <c r="L42" s="57">
        <v>1000</v>
      </c>
      <c r="M42" s="57"/>
      <c r="R42" s="49"/>
    </row>
    <row r="43" spans="2:18" ht="15" hidden="1" customHeight="1" x14ac:dyDescent="0.25">
      <c r="B43" s="49" t="s">
        <v>87</v>
      </c>
      <c r="C43" s="56">
        <f>C7/100</f>
        <v>0.75</v>
      </c>
      <c r="D43" s="56">
        <f>E7/100</f>
        <v>0</v>
      </c>
      <c r="E43" s="56">
        <f>MAX(C43:D43,0)</f>
        <v>0.75</v>
      </c>
      <c r="G43" s="1" t="str">
        <f>B43</f>
        <v>per 100 arrests</v>
      </c>
      <c r="L43" s="57">
        <v>100</v>
      </c>
      <c r="M43" s="57"/>
      <c r="R43" s="49"/>
    </row>
    <row r="44" spans="2:18" ht="15" hidden="1" customHeight="1" x14ac:dyDescent="0.25">
      <c r="B44" s="49" t="s">
        <v>88</v>
      </c>
      <c r="C44" s="56">
        <f>C8/100</f>
        <v>1.2</v>
      </c>
      <c r="D44" s="56">
        <f>E8/100</f>
        <v>0.06</v>
      </c>
      <c r="E44" s="56">
        <f>MAX(C44:D44,0)</f>
        <v>1.2</v>
      </c>
      <c r="G44" s="1" t="str">
        <f>B44</f>
        <v>per 100 referrals</v>
      </c>
      <c r="L44" s="57">
        <v>100</v>
      </c>
      <c r="M44" s="57"/>
      <c r="R44" s="49"/>
    </row>
    <row r="45" spans="2:18" ht="15" hidden="1" customHeight="1" x14ac:dyDescent="0.25">
      <c r="B45" s="49" t="s">
        <v>89</v>
      </c>
      <c r="C45" s="49">
        <f>C11/100</f>
        <v>1.04</v>
      </c>
      <c r="D45" s="49">
        <f>E11/100</f>
        <v>0.01</v>
      </c>
      <c r="E45" s="56">
        <f>MAX(C45:D45,0)</f>
        <v>1.04</v>
      </c>
      <c r="G45" s="1" t="str">
        <f>B45</f>
        <v>per 100 youth petitioned</v>
      </c>
      <c r="L45" s="57">
        <v>100</v>
      </c>
      <c r="M45" s="57"/>
      <c r="R45" s="49"/>
    </row>
    <row r="46" spans="2:18" ht="15" hidden="1" customHeight="1" x14ac:dyDescent="0.25">
      <c r="B46" s="49" t="s">
        <v>90</v>
      </c>
      <c r="C46" s="49">
        <f>C12/100</f>
        <v>0.47</v>
      </c>
      <c r="D46" s="49">
        <f>E12/100</f>
        <v>0.01</v>
      </c>
      <c r="E46" s="56">
        <f>MAX(C46:D46)</f>
        <v>0.47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9.625</v>
      </c>
      <c r="D48" s="56">
        <f>D42</f>
        <v>0</v>
      </c>
      <c r="E48" s="56">
        <f>MAX(C48:D48)</f>
        <v>9.625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1.2</v>
      </c>
      <c r="D50" s="49">
        <f t="shared" si="9"/>
        <v>0.06</v>
      </c>
      <c r="E50" s="49">
        <f>MAX(C50:D50)</f>
        <v>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1.04</v>
      </c>
      <c r="D51" s="49">
        <f>IF(($E45&gt;0),D45,D44)</f>
        <v>0.01</v>
      </c>
      <c r="E51" s="49">
        <f>MAX(C51:D51)</f>
        <v>1.04</v>
      </c>
      <c r="G51" s="1" t="str">
        <f>G45</f>
        <v>per 100 youth petitioned</v>
      </c>
      <c r="L51" s="58">
        <f>IF(($E45&gt;0),L45,L44)</f>
        <v>100</v>
      </c>
      <c r="M51" s="58"/>
    </row>
    <row r="52" spans="2:18" ht="15" hidden="1" customHeight="1" x14ac:dyDescent="0.25">
      <c r="B52" s="49" t="str">
        <f>IF(($E46&gt;0),B46,B45)</f>
        <v>per 100 youth found delinquent</v>
      </c>
      <c r="C52" s="49">
        <f>IF(($E46&gt;0),C46,C45)</f>
        <v>0.47</v>
      </c>
      <c r="D52" s="49">
        <f>IF(($E46&gt;0),D46,D45)</f>
        <v>0.01</v>
      </c>
      <c r="E52" s="56">
        <f>MAX(C52:D52)</f>
        <v>0.47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9.625</v>
      </c>
      <c r="D54" s="56">
        <f>D48</f>
        <v>0</v>
      </c>
      <c r="E54" s="56">
        <f>MAX(C54:D54)</f>
        <v>9.625</v>
      </c>
      <c r="G54" s="1" t="str">
        <f>G48</f>
        <v>per 1000 youth</v>
      </c>
      <c r="L54" s="58">
        <f>L48</f>
        <v>1000</v>
      </c>
      <c r="M54" s="58"/>
    </row>
    <row r="55" spans="2:18" ht="15" hidden="1" customHeight="1" x14ac:dyDescent="0.25">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x14ac:dyDescent="0.25">
      <c r="B56" s="49" t="str">
        <f t="shared" si="10"/>
        <v>per 100 referrals</v>
      </c>
      <c r="C56" s="49">
        <f t="shared" si="10"/>
        <v>1.2</v>
      </c>
      <c r="D56" s="49">
        <f t="shared" si="10"/>
        <v>0.06</v>
      </c>
      <c r="E56" s="49">
        <f>MAX(C56:D56)</f>
        <v>1.2</v>
      </c>
      <c r="G56" s="1" t="str">
        <f>G50</f>
        <v>per 100 referrals</v>
      </c>
      <c r="L56" s="58">
        <f>IF(($E50&gt;0),L50,L49)</f>
        <v>100</v>
      </c>
      <c r="M56" s="58"/>
    </row>
    <row r="57" spans="2:18" ht="15" hidden="1" customHeight="1" x14ac:dyDescent="0.25">
      <c r="B57" s="49" t="str">
        <f>IF(($E51&gt;0),B51,B49)</f>
        <v>per 100 youth petitioned</v>
      </c>
      <c r="C57" s="49">
        <f>IF(($E51&gt;0),C51,C50)</f>
        <v>1.04</v>
      </c>
      <c r="D57" s="49">
        <f>IF(($E51&gt;0),D51,D50)</f>
        <v>0.01</v>
      </c>
      <c r="E57" s="49">
        <f>MAX(C57:D57)</f>
        <v>1.04</v>
      </c>
      <c r="G57" s="1" t="str">
        <f>G51</f>
        <v>per 100 youth petitioned</v>
      </c>
      <c r="L57" s="58">
        <f>IF(($E51&gt;0),L51,L50)</f>
        <v>100</v>
      </c>
      <c r="M57" s="58"/>
    </row>
    <row r="58" spans="2:18" ht="15" hidden="1" customHeight="1" x14ac:dyDescent="0.25">
      <c r="B58" s="49" t="str">
        <f>IF(($E52&gt;0),B52,B51)</f>
        <v>per 100 youth found delinquent</v>
      </c>
      <c r="C58" s="49">
        <f>IF(($E52&gt;0),C52,C51)</f>
        <v>0.47</v>
      </c>
      <c r="D58" s="49">
        <f>IF(($E52&gt;0),D52,D51)</f>
        <v>0.01</v>
      </c>
      <c r="E58" s="56">
        <f>MAX(C58:D58)</f>
        <v>0.47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9.625</v>
      </c>
      <c r="D60" s="56">
        <f>D54</f>
        <v>0</v>
      </c>
      <c r="E60" s="56">
        <f>MAX(C60:D60)</f>
        <v>9.625</v>
      </c>
      <c r="G60" s="1" t="str">
        <f>G54</f>
        <v>per 1000 youth</v>
      </c>
      <c r="L60" s="58">
        <f>L54</f>
        <v>1000</v>
      </c>
      <c r="M60" s="58"/>
    </row>
    <row r="61" spans="2:18" ht="15" hidden="1" customHeight="1" x14ac:dyDescent="0.25">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x14ac:dyDescent="0.25">
      <c r="B62" s="49" t="str">
        <f t="shared" si="11"/>
        <v>per 100 referrals</v>
      </c>
      <c r="C62" s="49">
        <f t="shared" si="11"/>
        <v>1.2</v>
      </c>
      <c r="D62" s="49">
        <f t="shared" si="11"/>
        <v>0.06</v>
      </c>
      <c r="E62" s="49">
        <f>MAX(C62:D62)</f>
        <v>1.2</v>
      </c>
      <c r="G62" s="1" t="str">
        <f>G56</f>
        <v>per 100 referrals</v>
      </c>
      <c r="L62" s="58">
        <f>IF(($E56&gt;0),L56,L55)</f>
        <v>100</v>
      </c>
      <c r="M62" s="58"/>
    </row>
    <row r="63" spans="2:18" ht="15" hidden="1" customHeight="1" x14ac:dyDescent="0.25">
      <c r="B63" s="49" t="str">
        <f>IF(($E57&gt;0),B57,B55)</f>
        <v>per 100 youth petitioned</v>
      </c>
      <c r="C63" s="49">
        <f>IF(($E57&gt;0),C57,C56)</f>
        <v>1.04</v>
      </c>
      <c r="D63" s="49">
        <f>IF(($E57&gt;0),D57,D56)</f>
        <v>0.01</v>
      </c>
      <c r="E63" s="49">
        <f>MAX(C63:D63)</f>
        <v>1.04</v>
      </c>
      <c r="G63" s="1" t="str">
        <f>G57</f>
        <v>per 100 youth petitioned</v>
      </c>
      <c r="L63" s="58">
        <f>IF(($E57&gt;0),L57,L56)</f>
        <v>100</v>
      </c>
      <c r="M63" s="58"/>
    </row>
    <row r="64" spans="2:18" ht="15" hidden="1" customHeight="1" x14ac:dyDescent="0.25">
      <c r="B64" s="49" t="str">
        <f>IF(($E58&gt;0),B58,B57)</f>
        <v>per 100 youth found delinquent</v>
      </c>
      <c r="C64" s="49">
        <f>IF(($E58&gt;0),C58,C57)</f>
        <v>0.47</v>
      </c>
      <c r="D64" s="49">
        <f>IF(($E58&gt;0),D58,D57)</f>
        <v>0.01</v>
      </c>
      <c r="E64" s="56">
        <f>MAX(C64:D64)</f>
        <v>0.47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9.625</v>
      </c>
      <c r="D66" s="56">
        <f>D60</f>
        <v>0</v>
      </c>
      <c r="E66" s="56">
        <f>MAX(C66:D66)</f>
        <v>9.625</v>
      </c>
      <c r="G66" s="1" t="str">
        <f>G60</f>
        <v>per 1000 youth</v>
      </c>
      <c r="L66" s="58">
        <f>L60</f>
        <v>1000</v>
      </c>
      <c r="M66" s="58">
        <f>IF((B66=G66),1,2)</f>
        <v>1</v>
      </c>
    </row>
    <row r="67" spans="2:13" ht="15" hidden="1" customHeight="1" x14ac:dyDescent="0.25">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x14ac:dyDescent="0.25">
      <c r="B68" s="49" t="str">
        <f t="shared" si="12"/>
        <v>per 100 referrals</v>
      </c>
      <c r="C68" s="49">
        <f t="shared" si="12"/>
        <v>1.2</v>
      </c>
      <c r="D68" s="49">
        <f t="shared" si="12"/>
        <v>0.06</v>
      </c>
      <c r="E68" s="49">
        <f>MAX(C68:D68)</f>
        <v>1.2</v>
      </c>
      <c r="G68" s="1" t="str">
        <f>G62</f>
        <v>per 100 referrals</v>
      </c>
      <c r="L68" s="58">
        <f>IF(($E62&gt;0),L62,L61)</f>
        <v>100</v>
      </c>
      <c r="M68" s="58">
        <f>IF((B68=G68),1,2)</f>
        <v>1</v>
      </c>
    </row>
    <row r="69" spans="2:13" ht="15" hidden="1" customHeight="1" x14ac:dyDescent="0.25">
      <c r="B69" s="49" t="str">
        <f>IF(($E63&gt;0),B63,B61)</f>
        <v>per 100 youth petitioned</v>
      </c>
      <c r="C69" s="49">
        <f>IF(($E63&gt;0),C63,C62)</f>
        <v>1.04</v>
      </c>
      <c r="D69" s="49">
        <f>IF(($E63&gt;0),D63,D62)</f>
        <v>0.01</v>
      </c>
      <c r="E69" s="49">
        <f>MAX(C69:D69)</f>
        <v>1.04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0.47</v>
      </c>
      <c r="D70" s="49">
        <f>IF(($E64&gt;0),D64,D63)</f>
        <v>0.01</v>
      </c>
      <c r="E70" s="56">
        <f>MAX(C70:D70)</f>
        <v>0.47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Allegan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9625</v>
      </c>
      <c r="D6" s="34"/>
      <c r="E6" s="33">
        <f>'Data Entry'!J6</f>
        <v>1975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75</v>
      </c>
      <c r="D7" s="34">
        <f>IF((AND(C66&gt;0,C7&gt;0)),(C7/C66),0)</f>
        <v>7.7922077922077921</v>
      </c>
      <c r="E7" s="33">
        <f>'Data Entry'!J7</f>
        <v>18</v>
      </c>
      <c r="F7" s="34">
        <f>IF((AND($E$7&gt;0,$D$66&gt;0)),($E$7/$D$66),0)</f>
        <v>9.1139240506329102</v>
      </c>
      <c r="G7" s="39">
        <f t="shared" ref="G7:G15" si="0">IF(L$6=100,"*",IF(M7=FALSE,"--",IF(K7=20,"**",($F7/$D7))))</f>
        <v>1.1696202531645568</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18</v>
      </c>
      <c r="O7" s="42">
        <f>E6-E7</f>
        <v>1957</v>
      </c>
      <c r="P7" s="42">
        <f t="shared" ref="P7:P15" si="4">C7</f>
        <v>75</v>
      </c>
      <c r="Q7" s="42">
        <f>C6-C7</f>
        <v>9550</v>
      </c>
      <c r="R7" s="42">
        <f t="shared" ref="R7:R15" si="5">SUM(N7:Q7)</f>
        <v>11600</v>
      </c>
      <c r="S7" s="30">
        <f t="shared" ref="S7:S15" si="6">R7*((((N7*Q7)-(O7*P7))^2))</f>
        <v>7322681250000</v>
      </c>
      <c r="T7" s="30">
        <f t="shared" ref="T7:T15" si="7">(N7+O7)*(P7+Q7)*(N7+P7)*(O7+Q7)</f>
        <v>20342901665625</v>
      </c>
      <c r="U7" s="31">
        <f t="shared" ref="U7:U15" si="8">IF((S7&gt;0),S7/T7,"- -")</f>
        <v>0.35996247587303193</v>
      </c>
    </row>
    <row r="8" spans="2:21" ht="18" customHeight="1" x14ac:dyDescent="0.25">
      <c r="B8" s="32" t="str">
        <f>'Data Entry'!A8</f>
        <v>3. Refer to Juvenile Court</v>
      </c>
      <c r="C8" s="33">
        <f>'Data Entry'!C8</f>
        <v>120</v>
      </c>
      <c r="D8" s="34">
        <f>IF((AND(C67&gt;0,C8&gt;0)),(C8/C67),0)</f>
        <v>160</v>
      </c>
      <c r="E8" s="33">
        <f>'Data Entry'!J8</f>
        <v>49</v>
      </c>
      <c r="F8" s="34">
        <f>IF((AND($E$8&gt;0,$D$67&gt;0)),($E8/$D67),0)</f>
        <v>272.22222222222223</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49</v>
      </c>
      <c r="O8" s="42">
        <f>((D67*L67)-E8)+0.05</f>
        <v>-30.95</v>
      </c>
      <c r="P8" s="42">
        <f t="shared" si="4"/>
        <v>120</v>
      </c>
      <c r="Q8" s="42">
        <f>(C$67*L67)-C8</f>
        <v>-45</v>
      </c>
      <c r="R8" s="42">
        <f t="shared" si="5"/>
        <v>93.050000000000011</v>
      </c>
      <c r="S8" s="30">
        <f t="shared" si="6"/>
        <v>211882387.05000001</v>
      </c>
      <c r="T8" s="30">
        <f t="shared" si="7"/>
        <v>-17376125.8125</v>
      </c>
      <c r="U8" s="31">
        <f t="shared" si="8"/>
        <v>-12.193879656279682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49</v>
      </c>
      <c r="P9" s="42">
        <f t="shared" si="4"/>
        <v>0</v>
      </c>
      <c r="Q9" s="42">
        <f>(C$68*L68)-C9</f>
        <v>120</v>
      </c>
      <c r="R9" s="42">
        <f t="shared" si="5"/>
        <v>169</v>
      </c>
      <c r="S9" s="30">
        <f t="shared" si="6"/>
        <v>0</v>
      </c>
      <c r="T9" s="30">
        <f t="shared" si="7"/>
        <v>0</v>
      </c>
      <c r="U9" s="31" t="str">
        <f t="shared" si="8"/>
        <v>- -</v>
      </c>
    </row>
    <row r="10" spans="2:21" ht="18" customHeight="1" x14ac:dyDescent="0.25">
      <c r="B10" s="32" t="str">
        <f>'Data Entry'!A10</f>
        <v>5. Cases Involving Secure Detention</v>
      </c>
      <c r="C10" s="33">
        <f>'Data Entry'!C10</f>
        <v>15</v>
      </c>
      <c r="D10" s="34">
        <f>IF(((AND(C68&gt;0,C10&gt;0))),(C10/(C68)),0)</f>
        <v>12.5</v>
      </c>
      <c r="E10" s="33">
        <f>'Data Entry'!J10</f>
        <v>11</v>
      </c>
      <c r="F10" s="34">
        <f>IF(((AND($E$10&gt;0,$D$68&gt;0))),($E$10/($D$68)),0)</f>
        <v>22.448979591836736</v>
      </c>
      <c r="G10" s="39">
        <f t="shared" si="0"/>
        <v>1.7959183673469388</v>
      </c>
      <c r="H10" s="40"/>
      <c r="I10" s="41"/>
      <c r="J10" s="40">
        <f>IF((ABS($U10)&gt;Defaults!D$7),1,2)</f>
        <v>2</v>
      </c>
      <c r="K10" s="39">
        <f>IF((AND(N10&gt;Defaults!B$12,(N10+O10)&gt;Defaults!B$13, P10 &gt; Defaults!B$12, (P10+Q10) &gt; Defaults!B$13)),1,20)</f>
        <v>1</v>
      </c>
      <c r="L10" s="1">
        <f t="shared" si="1"/>
        <v>2</v>
      </c>
      <c r="M10" s="1" t="b">
        <f t="shared" si="2"/>
        <v>1</v>
      </c>
      <c r="N10" s="42">
        <f t="shared" si="3"/>
        <v>11</v>
      </c>
      <c r="O10" s="42">
        <f>(D$68*L68)-E10</f>
        <v>38</v>
      </c>
      <c r="P10" s="42">
        <f t="shared" si="4"/>
        <v>15</v>
      </c>
      <c r="Q10" s="42">
        <f>(C$68*L68)-C10</f>
        <v>105</v>
      </c>
      <c r="R10" s="42">
        <f t="shared" si="5"/>
        <v>169</v>
      </c>
      <c r="S10" s="30">
        <f t="shared" si="6"/>
        <v>57836025</v>
      </c>
      <c r="T10" s="30">
        <f t="shared" si="7"/>
        <v>21861840</v>
      </c>
      <c r="U10" s="31">
        <f t="shared" si="8"/>
        <v>2.6455241187384044</v>
      </c>
    </row>
    <row r="11" spans="2:21" ht="18" customHeight="1" x14ac:dyDescent="0.25">
      <c r="B11" s="32" t="str">
        <f>'Data Entry'!A11</f>
        <v>6. Cases Petitioned (Charge Filed)</v>
      </c>
      <c r="C11" s="33">
        <f>'Data Entry'!C11</f>
        <v>104</v>
      </c>
      <c r="D11" s="34">
        <f>IF(((AND(C68&gt;0,C11&gt;0))),(C11/(C68)),0)</f>
        <v>86.666666666666671</v>
      </c>
      <c r="E11" s="33">
        <f>'Data Entry'!J11</f>
        <v>28</v>
      </c>
      <c r="F11" s="34">
        <f>IF(((AND($E$11&gt;0,$D$68&gt;0))),($E$11/($D$68)),0)</f>
        <v>57.142857142857146</v>
      </c>
      <c r="G11" s="39">
        <f t="shared" si="0"/>
        <v>0.65934065934065933</v>
      </c>
      <c r="H11" s="40"/>
      <c r="I11" s="41"/>
      <c r="J11" s="40">
        <f>IF((ABS($U11)&gt;Defaults!D$7),1,2)</f>
        <v>1</v>
      </c>
      <c r="K11" s="39">
        <f>IF((AND(N11&gt;Defaults!B$12,(N11+O11)&gt;Defaults!B$13, P11 &gt; Defaults!B$12, (P11+Q11) &gt; Defaults!B$13)),1,20)</f>
        <v>1</v>
      </c>
      <c r="L11" s="1">
        <f t="shared" si="1"/>
        <v>1</v>
      </c>
      <c r="M11" s="1" t="b">
        <f t="shared" si="2"/>
        <v>1</v>
      </c>
      <c r="N11" s="42">
        <f t="shared" si="3"/>
        <v>28</v>
      </c>
      <c r="O11" s="42">
        <f>(D$68*L68)-E11</f>
        <v>21</v>
      </c>
      <c r="P11" s="42">
        <f t="shared" si="4"/>
        <v>104</v>
      </c>
      <c r="Q11" s="42">
        <f>(C$68*L68)-C11</f>
        <v>16</v>
      </c>
      <c r="R11" s="42">
        <f t="shared" si="5"/>
        <v>169</v>
      </c>
      <c r="S11" s="30">
        <f t="shared" si="6"/>
        <v>509314624</v>
      </c>
      <c r="T11" s="30">
        <f t="shared" si="7"/>
        <v>28717920</v>
      </c>
      <c r="U11" s="31">
        <f t="shared" si="8"/>
        <v>17.735080535080535</v>
      </c>
    </row>
    <row r="12" spans="2:21" ht="18" customHeight="1" x14ac:dyDescent="0.25">
      <c r="B12" s="32" t="str">
        <f>'Data Entry'!A12</f>
        <v>7. Cases Resulting in Delinquent Findings</v>
      </c>
      <c r="C12" s="33">
        <f>'Data Entry'!C12</f>
        <v>47</v>
      </c>
      <c r="D12" s="34">
        <f>IF(((AND(C69&gt;0,C12&gt;0))),(C12/(C69)),0)</f>
        <v>45.192307692307693</v>
      </c>
      <c r="E12" s="33">
        <f>'Data Entry'!J12</f>
        <v>15</v>
      </c>
      <c r="F12" s="34">
        <f>IF(((AND($D$69&gt;0,$E$12&gt;0))),(E12/(D69)),0)</f>
        <v>53.571428571428569</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15</v>
      </c>
      <c r="O12" s="42">
        <f>(D69*L69)-E12</f>
        <v>13.000000000000004</v>
      </c>
      <c r="P12" s="42">
        <f t="shared" si="4"/>
        <v>47</v>
      </c>
      <c r="Q12" s="42">
        <f>(C69*L69)-C12</f>
        <v>57</v>
      </c>
      <c r="R12" s="42">
        <f t="shared" si="5"/>
        <v>132</v>
      </c>
      <c r="S12" s="30">
        <f t="shared" si="6"/>
        <v>7858751.9999999925</v>
      </c>
      <c r="T12" s="30">
        <f t="shared" si="7"/>
        <v>12638080.000000002</v>
      </c>
      <c r="U12" s="31">
        <f t="shared" si="8"/>
        <v>0.62183116422747686</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15</v>
      </c>
      <c r="P13" s="42">
        <f t="shared" si="4"/>
        <v>0</v>
      </c>
      <c r="Q13" s="42">
        <f>(C70*L70)-C13</f>
        <v>47</v>
      </c>
      <c r="R13" s="42">
        <f t="shared" si="5"/>
        <v>62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45</v>
      </c>
      <c r="D14" s="34">
        <f>IF(((AND(C70&gt;0,C14&gt;0))), ((C14/(C70))),0)</f>
        <v>95.744680851063833</v>
      </c>
      <c r="E14" s="33">
        <f>'Data Entry'!J14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15</v>
      </c>
      <c r="P14" s="42">
        <f t="shared" si="4"/>
        <v>45</v>
      </c>
      <c r="Q14" s="42">
        <f>(C70*L70)-C14</f>
        <v>2</v>
      </c>
      <c r="R14" s="42">
        <f t="shared" si="5"/>
        <v>62</v>
      </c>
      <c r="S14" s="30">
        <f t="shared" si="6"/>
        <v>28248750</v>
      </c>
      <c r="T14" s="30">
        <f t="shared" si="7"/>
        <v>539325</v>
      </c>
      <c r="U14" s="31">
        <f t="shared" si="8"/>
        <v>52.377972465581976</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28.000000000000004</v>
      </c>
      <c r="P15" s="42">
        <f t="shared" si="4"/>
        <v>0</v>
      </c>
      <c r="Q15" s="42">
        <f>(C69*L69)-C15</f>
        <v>104</v>
      </c>
      <c r="R15" s="42">
        <f t="shared" si="5"/>
        <v>132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9.625</v>
      </c>
      <c r="D42" s="56">
        <f>E6/1000</f>
        <v>1.9750000000000001</v>
      </c>
      <c r="E42" s="56">
        <f>MAX(C42:D42)</f>
        <v>9.625</v>
      </c>
      <c r="G42" s="1" t="str">
        <f>B42</f>
        <v>per 1000 youth</v>
      </c>
      <c r="L42" s="57">
        <v>1000</v>
      </c>
      <c r="M42" s="57"/>
      <c r="R42" s="49"/>
    </row>
    <row r="43" spans="2:18" ht="15" hidden="1" customHeight="1" x14ac:dyDescent="0.25">
      <c r="B43" s="49" t="s">
        <v>87</v>
      </c>
      <c r="C43" s="56">
        <f>C7/100</f>
        <v>0.75</v>
      </c>
      <c r="D43" s="56">
        <f>E7/100</f>
        <v>0.18</v>
      </c>
      <c r="E43" s="56">
        <f>MAX(C43:D43,0)</f>
        <v>0.75</v>
      </c>
      <c r="G43" s="1" t="str">
        <f>B43</f>
        <v>per 100 arrests</v>
      </c>
      <c r="L43" s="57">
        <v>100</v>
      </c>
      <c r="M43" s="57"/>
      <c r="R43" s="49"/>
    </row>
    <row r="44" spans="2:18" ht="15" hidden="1" customHeight="1" x14ac:dyDescent="0.25">
      <c r="B44" s="49" t="s">
        <v>88</v>
      </c>
      <c r="C44" s="56">
        <f>C8/100</f>
        <v>1.2</v>
      </c>
      <c r="D44" s="56">
        <f>E8/100</f>
        <v>0.49</v>
      </c>
      <c r="E44" s="56">
        <f>MAX(C44:D44,0)</f>
        <v>1.2</v>
      </c>
      <c r="G44" s="1" t="str">
        <f>B44</f>
        <v>per 100 referrals</v>
      </c>
      <c r="L44" s="57">
        <v>100</v>
      </c>
      <c r="M44" s="57"/>
      <c r="R44" s="49"/>
    </row>
    <row r="45" spans="2:18" ht="15" hidden="1" customHeight="1" x14ac:dyDescent="0.25">
      <c r="B45" s="49" t="s">
        <v>89</v>
      </c>
      <c r="C45" s="49">
        <f>C11/100</f>
        <v>1.04</v>
      </c>
      <c r="D45" s="49">
        <f>E11/100</f>
        <v>0.28000000000000003</v>
      </c>
      <c r="E45" s="56">
        <f>MAX(C45:D45,0)</f>
        <v>1.04</v>
      </c>
      <c r="G45" s="1" t="str">
        <f>B45</f>
        <v>per 100 youth petitioned</v>
      </c>
      <c r="L45" s="57">
        <v>100</v>
      </c>
      <c r="M45" s="57"/>
      <c r="R45" s="49"/>
    </row>
    <row r="46" spans="2:18" ht="15" hidden="1" customHeight="1" x14ac:dyDescent="0.25">
      <c r="B46" s="49" t="s">
        <v>90</v>
      </c>
      <c r="C46" s="49">
        <f>C12/100</f>
        <v>0.47</v>
      </c>
      <c r="D46" s="49">
        <f>E12/100</f>
        <v>0.15</v>
      </c>
      <c r="E46" s="56">
        <f>MAX(C46:D46)</f>
        <v>0.47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9.625</v>
      </c>
      <c r="D48" s="56">
        <f>D42</f>
        <v>1.9750000000000001</v>
      </c>
      <c r="E48" s="56">
        <f>MAX(C48:D48)</f>
        <v>9.625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0.75</v>
      </c>
      <c r="D49" s="49">
        <f t="shared" si="9"/>
        <v>0.18</v>
      </c>
      <c r="E49" s="49">
        <f>MAX(C49:D49)</f>
        <v>0.75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1.2</v>
      </c>
      <c r="D50" s="49">
        <f t="shared" si="9"/>
        <v>0.49</v>
      </c>
      <c r="E50" s="49">
        <f>MAX(C50:D50)</f>
        <v>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1.04</v>
      </c>
      <c r="D51" s="49">
        <f>IF(($E45&gt;0),D45,D44)</f>
        <v>0.28000000000000003</v>
      </c>
      <c r="E51" s="49">
        <f>MAX(C51:D51)</f>
        <v>1.04</v>
      </c>
      <c r="G51" s="1" t="str">
        <f>G45</f>
        <v>per 100 youth petitioned</v>
      </c>
      <c r="L51" s="58">
        <f>IF(($E45&gt;0),L45,L44)</f>
        <v>100</v>
      </c>
      <c r="M51" s="58"/>
    </row>
    <row r="52" spans="2:18" ht="15" hidden="1" customHeight="1" x14ac:dyDescent="0.25">
      <c r="B52" s="49" t="str">
        <f>IF(($E46&gt;0),B46,B45)</f>
        <v>per 100 youth found delinquent</v>
      </c>
      <c r="C52" s="49">
        <f>IF(($E46&gt;0),C46,C45)</f>
        <v>0.47</v>
      </c>
      <c r="D52" s="49">
        <f>IF(($E46&gt;0),D46,D45)</f>
        <v>0.15</v>
      </c>
      <c r="E52" s="56">
        <f>MAX(C52:D52)</f>
        <v>0.47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9.625</v>
      </c>
      <c r="D54" s="56">
        <f>D48</f>
        <v>1.9750000000000001</v>
      </c>
      <c r="E54" s="56">
        <f>MAX(C54:D54)</f>
        <v>9.625</v>
      </c>
      <c r="G54" s="1" t="str">
        <f>G48</f>
        <v>per 1000 youth</v>
      </c>
      <c r="L54" s="58">
        <f>L48</f>
        <v>1000</v>
      </c>
      <c r="M54" s="58"/>
    </row>
    <row r="55" spans="2:18" ht="15" hidden="1" customHeight="1" x14ac:dyDescent="0.25">
      <c r="B55" s="49" t="str">
        <f t="shared" ref="B55:D56" si="10">IF(($E49&gt;0),B49,B48)</f>
        <v>per 100 arrests</v>
      </c>
      <c r="C55" s="49">
        <f t="shared" si="10"/>
        <v>0.75</v>
      </c>
      <c r="D55" s="49">
        <f t="shared" si="10"/>
        <v>0.18</v>
      </c>
      <c r="E55" s="49">
        <f>MAX(C55:D55)</f>
        <v>0.75</v>
      </c>
      <c r="G55" s="1" t="str">
        <f>G49</f>
        <v>per 100 arrests</v>
      </c>
      <c r="L55" s="58">
        <f>IF(($E49&gt;0),L49,L48)</f>
        <v>100</v>
      </c>
      <c r="M55" s="58"/>
    </row>
    <row r="56" spans="2:18" ht="15" hidden="1" customHeight="1" x14ac:dyDescent="0.25">
      <c r="B56" s="49" t="str">
        <f t="shared" si="10"/>
        <v>per 100 referrals</v>
      </c>
      <c r="C56" s="49">
        <f t="shared" si="10"/>
        <v>1.2</v>
      </c>
      <c r="D56" s="49">
        <f t="shared" si="10"/>
        <v>0.49</v>
      </c>
      <c r="E56" s="49">
        <f>MAX(C56:D56)</f>
        <v>1.2</v>
      </c>
      <c r="G56" s="1" t="str">
        <f>G50</f>
        <v>per 100 referrals</v>
      </c>
      <c r="L56" s="58">
        <f>IF(($E50&gt;0),L50,L49)</f>
        <v>100</v>
      </c>
      <c r="M56" s="58"/>
    </row>
    <row r="57" spans="2:18" ht="15" hidden="1" customHeight="1" x14ac:dyDescent="0.25">
      <c r="B57" s="49" t="str">
        <f>IF(($E51&gt;0),B51,B49)</f>
        <v>per 100 youth petitioned</v>
      </c>
      <c r="C57" s="49">
        <f>IF(($E51&gt;0),C51,C50)</f>
        <v>1.04</v>
      </c>
      <c r="D57" s="49">
        <f>IF(($E51&gt;0),D51,D50)</f>
        <v>0.28000000000000003</v>
      </c>
      <c r="E57" s="49">
        <f>MAX(C57:D57)</f>
        <v>1.04</v>
      </c>
      <c r="G57" s="1" t="str">
        <f>G51</f>
        <v>per 100 youth petitioned</v>
      </c>
      <c r="L57" s="58">
        <f>IF(($E51&gt;0),L51,L50)</f>
        <v>100</v>
      </c>
      <c r="M57" s="58"/>
    </row>
    <row r="58" spans="2:18" ht="15" hidden="1" customHeight="1" x14ac:dyDescent="0.25">
      <c r="B58" s="49" t="str">
        <f>IF(($E52&gt;0),B52,B51)</f>
        <v>per 100 youth found delinquent</v>
      </c>
      <c r="C58" s="49">
        <f>IF(($E52&gt;0),C52,C51)</f>
        <v>0.47</v>
      </c>
      <c r="D58" s="49">
        <f>IF(($E52&gt;0),D52,D51)</f>
        <v>0.15</v>
      </c>
      <c r="E58" s="56">
        <f>MAX(C58:D58)</f>
        <v>0.47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9.625</v>
      </c>
      <c r="D60" s="56">
        <f>D54</f>
        <v>1.9750000000000001</v>
      </c>
      <c r="E60" s="56">
        <f>MAX(C60:D60)</f>
        <v>9.625</v>
      </c>
      <c r="G60" s="1" t="str">
        <f>G54</f>
        <v>per 1000 youth</v>
      </c>
      <c r="L60" s="58">
        <f>L54</f>
        <v>1000</v>
      </c>
      <c r="M60" s="58"/>
    </row>
    <row r="61" spans="2:18" ht="15" hidden="1" customHeight="1" x14ac:dyDescent="0.25">
      <c r="B61" s="49" t="str">
        <f t="shared" ref="B61:D62" si="11">IF(($E55&gt;0),B55,B54)</f>
        <v>per 100 arrests</v>
      </c>
      <c r="C61" s="49">
        <f t="shared" si="11"/>
        <v>0.75</v>
      </c>
      <c r="D61" s="49">
        <f t="shared" si="11"/>
        <v>0.18</v>
      </c>
      <c r="E61" s="49">
        <f>MAX(C61:D61)</f>
        <v>0.75</v>
      </c>
      <c r="G61" s="1" t="str">
        <f>G55</f>
        <v>per 100 arrests</v>
      </c>
      <c r="L61" s="58">
        <f>IF(($E55&gt;0),L55,L54)</f>
        <v>100</v>
      </c>
      <c r="M61" s="58"/>
    </row>
    <row r="62" spans="2:18" ht="15" hidden="1" customHeight="1" x14ac:dyDescent="0.25">
      <c r="B62" s="49" t="str">
        <f t="shared" si="11"/>
        <v>per 100 referrals</v>
      </c>
      <c r="C62" s="49">
        <f t="shared" si="11"/>
        <v>1.2</v>
      </c>
      <c r="D62" s="49">
        <f t="shared" si="11"/>
        <v>0.49</v>
      </c>
      <c r="E62" s="49">
        <f>MAX(C62:D62)</f>
        <v>1.2</v>
      </c>
      <c r="G62" s="1" t="str">
        <f>G56</f>
        <v>per 100 referrals</v>
      </c>
      <c r="L62" s="58">
        <f>IF(($E56&gt;0),L56,L55)</f>
        <v>100</v>
      </c>
      <c r="M62" s="58"/>
    </row>
    <row r="63" spans="2:18" ht="15" hidden="1" customHeight="1" x14ac:dyDescent="0.25">
      <c r="B63" s="49" t="str">
        <f>IF(($E57&gt;0),B57,B55)</f>
        <v>per 100 youth petitioned</v>
      </c>
      <c r="C63" s="49">
        <f>IF(($E57&gt;0),C57,C56)</f>
        <v>1.04</v>
      </c>
      <c r="D63" s="49">
        <f>IF(($E57&gt;0),D57,D56)</f>
        <v>0.28000000000000003</v>
      </c>
      <c r="E63" s="49">
        <f>MAX(C63:D63)</f>
        <v>1.04</v>
      </c>
      <c r="G63" s="1" t="str">
        <f>G57</f>
        <v>per 100 youth petitioned</v>
      </c>
      <c r="L63" s="58">
        <f>IF(($E57&gt;0),L57,L56)</f>
        <v>100</v>
      </c>
      <c r="M63" s="58"/>
    </row>
    <row r="64" spans="2:18" ht="15" hidden="1" customHeight="1" x14ac:dyDescent="0.25">
      <c r="B64" s="49" t="str">
        <f>IF(($E58&gt;0),B58,B57)</f>
        <v>per 100 youth found delinquent</v>
      </c>
      <c r="C64" s="49">
        <f>IF(($E58&gt;0),C58,C57)</f>
        <v>0.47</v>
      </c>
      <c r="D64" s="49">
        <f>IF(($E58&gt;0),D58,D57)</f>
        <v>0.15</v>
      </c>
      <c r="E64" s="56">
        <f>MAX(C64:D64)</f>
        <v>0.47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9.625</v>
      </c>
      <c r="D66" s="56">
        <f>D60</f>
        <v>1.9750000000000001</v>
      </c>
      <c r="E66" s="56">
        <f>MAX(C66:D66)</f>
        <v>9.625</v>
      </c>
      <c r="G66" s="1" t="str">
        <f>G60</f>
        <v>per 1000 youth</v>
      </c>
      <c r="L66" s="58">
        <f>L60</f>
        <v>1000</v>
      </c>
      <c r="M66" s="58">
        <f>IF((B66=G66),1,2)</f>
        <v>1</v>
      </c>
    </row>
    <row r="67" spans="2:13" ht="15" hidden="1" customHeight="1" x14ac:dyDescent="0.25">
      <c r="B67" s="49" t="str">
        <f t="shared" ref="B67:D68" si="12">IF(($E61&gt;0),B61,B60)</f>
        <v>per 100 arrests</v>
      </c>
      <c r="C67" s="49">
        <f t="shared" si="12"/>
        <v>0.75</v>
      </c>
      <c r="D67" s="49">
        <f t="shared" si="12"/>
        <v>0.18</v>
      </c>
      <c r="E67" s="49">
        <f>MAX(C67:D67)</f>
        <v>0.75</v>
      </c>
      <c r="G67" s="1" t="str">
        <f>G61</f>
        <v>per 100 arrests</v>
      </c>
      <c r="L67" s="58">
        <f>IF(($E61&gt;0),L61,L60)</f>
        <v>100</v>
      </c>
      <c r="M67" s="58">
        <f>IF((B67=G67),1,2)</f>
        <v>1</v>
      </c>
    </row>
    <row r="68" spans="2:13" ht="15" hidden="1" customHeight="1" x14ac:dyDescent="0.25">
      <c r="B68" s="49" t="str">
        <f t="shared" si="12"/>
        <v>per 100 referrals</v>
      </c>
      <c r="C68" s="49">
        <f t="shared" si="12"/>
        <v>1.2</v>
      </c>
      <c r="D68" s="49">
        <f t="shared" si="12"/>
        <v>0.49</v>
      </c>
      <c r="E68" s="49">
        <f>MAX(C68:D68)</f>
        <v>1.2</v>
      </c>
      <c r="G68" s="1" t="str">
        <f>G62</f>
        <v>per 100 referrals</v>
      </c>
      <c r="L68" s="58">
        <f>IF(($E62&gt;0),L62,L61)</f>
        <v>100</v>
      </c>
      <c r="M68" s="58">
        <f>IF((B68=G68),1,2)</f>
        <v>1</v>
      </c>
    </row>
    <row r="69" spans="2:13" ht="15" hidden="1" customHeight="1" x14ac:dyDescent="0.25">
      <c r="B69" s="49" t="str">
        <f>IF(($E63&gt;0),B63,B61)</f>
        <v>per 100 youth petitioned</v>
      </c>
      <c r="C69" s="49">
        <f>IF(($E63&gt;0),C63,C62)</f>
        <v>1.04</v>
      </c>
      <c r="D69" s="49">
        <f>IF(($E63&gt;0),D63,D62)</f>
        <v>0.28000000000000003</v>
      </c>
      <c r="E69" s="49">
        <f>MAX(C69:D69)</f>
        <v>1.04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0.47</v>
      </c>
      <c r="D70" s="49">
        <f>IF(($E64&gt;0),D64,D63)</f>
        <v>0.15</v>
      </c>
      <c r="E70" s="56">
        <f>MAX(C70:D70)</f>
        <v>0.47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Allegan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6.9578313253012052</v>
      </c>
      <c r="D7" s="72" t="str">
        <f>Hispanic!G7</f>
        <v>**</v>
      </c>
      <c r="E7" s="72" t="str">
        <f>Asian!G7</f>
        <v>*</v>
      </c>
      <c r="F7" s="72" t="str">
        <f>Hawaiian!G7</f>
        <v>*</v>
      </c>
      <c r="G7" s="72" t="str">
        <f>'Am Indian'!G7</f>
        <v>*</v>
      </c>
      <c r="H7" s="72" t="str">
        <f>'Other - Mixed'!G7</f>
        <v>*</v>
      </c>
      <c r="I7" s="73">
        <f>'All Minorities'!G7</f>
        <v>1.1696202531645568</v>
      </c>
      <c r="L7" s="1">
        <f>'Black or African-American'!L7</f>
        <v>1</v>
      </c>
      <c r="M7" s="1">
        <f>Hispanic!L7</f>
        <v>20</v>
      </c>
      <c r="N7" s="1">
        <f>Asian!L7</f>
        <v>139</v>
      </c>
      <c r="O7" s="1" t="e">
        <f>Hawaiian!L7</f>
        <v>#VALUE!</v>
      </c>
      <c r="P7" s="1">
        <f>'Am Indian'!L7</f>
        <v>139</v>
      </c>
      <c r="Q7" s="1" t="e">
        <f>'Other - Mixed'!L7</f>
        <v>#VALUE!</v>
      </c>
      <c r="R7" s="1">
        <f>'All Minorities'!L7</f>
        <v>2</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119</v>
      </c>
      <c r="O8" s="1">
        <f>Hawaiian!L8</f>
        <v>139</v>
      </c>
      <c r="P8" s="1">
        <f>'Am Indian'!L8</f>
        <v>139</v>
      </c>
      <c r="Q8" s="1">
        <f>'Other - Mixed'!L8</f>
        <v>119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f>'Black or African-American'!$G10</f>
        <v>2.1818181818181817</v>
      </c>
      <c r="D10" s="72" t="str">
        <f>Hispanic!G10</f>
        <v>**</v>
      </c>
      <c r="E10" s="72" t="str">
        <f>Asian!G10</f>
        <v>*</v>
      </c>
      <c r="F10" s="72" t="str">
        <f>Hawaiian!G10</f>
        <v>*</v>
      </c>
      <c r="G10" s="72" t="str">
        <f>'Am Indian'!G10</f>
        <v>*</v>
      </c>
      <c r="H10" s="72" t="str">
        <f>'Other - Mixed'!G10</f>
        <v>*</v>
      </c>
      <c r="I10" s="73">
        <f>'All Minorities'!G10</f>
        <v>1.7959183673469388</v>
      </c>
      <c r="L10" s="1">
        <f>'Black or African-American'!L10</f>
        <v>1</v>
      </c>
      <c r="M10" s="1">
        <f>Hispanic!L10</f>
        <v>40</v>
      </c>
      <c r="N10" s="1">
        <f>Asian!L10</f>
        <v>139</v>
      </c>
      <c r="O10" s="1" t="e">
        <f>Hawaiian!L10</f>
        <v>#VALUE!</v>
      </c>
      <c r="P10" s="1" t="e">
        <f>'Am Indian'!L10</f>
        <v>#VALUE!</v>
      </c>
      <c r="Q10" s="1">
        <f>'Other - Mixed'!L10</f>
        <v>139</v>
      </c>
      <c r="R10" s="1">
        <f>'All Minorities'!L10</f>
        <v>2</v>
      </c>
    </row>
    <row r="11" spans="2:18" ht="15" customHeight="1" x14ac:dyDescent="0.25">
      <c r="B11" s="71" t="s">
        <v>95</v>
      </c>
      <c r="C11" s="72">
        <f>'Black or African-American'!$G11</f>
        <v>0.69930069930069927</v>
      </c>
      <c r="D11" s="72" t="str">
        <f>Hispanic!G11</f>
        <v>**</v>
      </c>
      <c r="E11" s="72" t="str">
        <f>Asian!G11</f>
        <v>*</v>
      </c>
      <c r="F11" s="72" t="str">
        <f>Hawaiian!G11</f>
        <v>*</v>
      </c>
      <c r="G11" s="72" t="str">
        <f>'Am Indian'!G11</f>
        <v>*</v>
      </c>
      <c r="H11" s="72" t="str">
        <f>'Other - Mixed'!G11</f>
        <v>*</v>
      </c>
      <c r="I11" s="73">
        <f>'All Minorities'!G11</f>
        <v>0.65934065934065933</v>
      </c>
      <c r="L11" s="1">
        <f>'Black or African-American'!L11</f>
        <v>1</v>
      </c>
      <c r="M11" s="1">
        <f>Hispanic!L11</f>
        <v>40</v>
      </c>
      <c r="N11" s="1">
        <f>Asian!L11</f>
        <v>119</v>
      </c>
      <c r="O11" s="1" t="e">
        <f>Hawaiian!L11</f>
        <v>#VALUE!</v>
      </c>
      <c r="P11" s="1" t="e">
        <f>'Am Indian'!L11</f>
        <v>#VALUE!</v>
      </c>
      <c r="Q11" s="1">
        <f>'Other - Mixed'!L11</f>
        <v>119</v>
      </c>
      <c r="R11" s="1">
        <f>'All Minorities'!L11</f>
        <v>1</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20</v>
      </c>
      <c r="N14" s="1" t="e">
        <f>Asian!L14</f>
        <v>#VALUE!</v>
      </c>
      <c r="O14" s="1" t="e">
        <f>Hawaiian!L14</f>
        <v>#VALUE!</v>
      </c>
      <c r="P14" s="1" t="e">
        <f>'Am Indian'!L14</f>
        <v>#VALUE!</v>
      </c>
      <c r="Q14" s="1">
        <f>'Other - Mixed'!L14</f>
        <v>119</v>
      </c>
      <c r="R14" s="1">
        <f>'All Minorities'!L14</f>
        <v>20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11600</v>
      </c>
      <c r="D3" s="57">
        <f>'Data Entry'!C6</f>
        <v>9625</v>
      </c>
      <c r="E3" s="57">
        <f>'Data Entry'!D6</f>
        <v>332</v>
      </c>
      <c r="F3" s="57">
        <f>'Data Entry'!E6</f>
        <v>1452</v>
      </c>
      <c r="G3" s="57">
        <f>'Data Entry'!F6</f>
        <v>108</v>
      </c>
      <c r="H3" s="57">
        <f>'Data Entry'!G6</f>
        <v>0</v>
      </c>
      <c r="I3" s="57">
        <f>'Data Entry'!H6</f>
        <v>83</v>
      </c>
      <c r="J3" s="57">
        <f>'Data Entry'!I6</f>
        <v>0</v>
      </c>
      <c r="K3" s="57">
        <f>'Data Entry'!J6</f>
        <v>1975</v>
      </c>
    </row>
    <row r="4" spans="2:11" ht="15" customHeight="1" x14ac:dyDescent="0.25">
      <c r="B4" s="16" t="s">
        <v>8</v>
      </c>
      <c r="C4" s="1">
        <f>IF((C$3&gt;0),(1000*('Data Entry'!B7/'Data Entry'!B$6)), 0)</f>
        <v>8.3620689655172402</v>
      </c>
      <c r="D4" s="1">
        <f>IF((D$3&gt;0),(1000*('Data Entry'!C7/'Data Entry'!C$6)), 0)</f>
        <v>7.7922077922077921</v>
      </c>
      <c r="E4" s="1">
        <f>IF((E$3&gt;0),(1000*('Data Entry'!D7/'Data Entry'!D$6)), 0)</f>
        <v>54.216867469879517</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9.113924050632912</v>
      </c>
    </row>
    <row r="5" spans="2:11" ht="15" customHeight="1" x14ac:dyDescent="0.25">
      <c r="B5" s="16" t="s">
        <v>9</v>
      </c>
      <c r="C5" s="1">
        <f>IF((C$3&gt;0),(1000*('Data Entry'!B8/'Data Entry'!B$6)), 0)</f>
        <v>14.568965517241379</v>
      </c>
      <c r="D5" s="1">
        <f>IF((D$3&gt;0),(1000*('Data Entry'!C8/'Data Entry'!C$6)), 0)</f>
        <v>12.467532467532468</v>
      </c>
      <c r="E5" s="1">
        <f>IF((E$3&gt;0),(1000*('Data Entry'!D8/'Data Entry'!D$6)), 0)</f>
        <v>99.397590361445779</v>
      </c>
      <c r="F5" s="1">
        <f>IF((F$3&gt;0),(1000*('Data Entry'!E8/'Data Entry'!E$6)), 0)</f>
        <v>6.1983471074380168</v>
      </c>
      <c r="G5" s="1">
        <f>IF((G$3&gt;0),(1000*('Data Entry'!F8/'Data Entry'!F$6)), 0)</f>
        <v>9.2592592592592595</v>
      </c>
      <c r="H5" s="1">
        <f>IF((H$3&gt;0),(1000*('Data Entry'!G8/'Data Entry'!G$6)), 0)</f>
        <v>0</v>
      </c>
      <c r="I5" s="1">
        <f>IF((I$3&gt;0),(1000*('Data Entry'!H8/'Data Entry'!H$6)), 0)</f>
        <v>0</v>
      </c>
      <c r="J5" s="1">
        <f>IF((J$3&gt;0),(1000*('Data Entry'!I8/'Data Entry'!I$6)), 0)</f>
        <v>0</v>
      </c>
      <c r="K5" s="1">
        <f>IF((K$3&gt;0),(1000*('Data Entry'!J8/'Data Entry'!J$6)), 0)</f>
        <v>24.810126582278482</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2.2413793103448274</v>
      </c>
      <c r="D7" s="1">
        <f>IF((D$3&gt;0),(1000*('Data Entry'!C10/'Data Entry'!C$6)), 0)</f>
        <v>1.5584415584415585</v>
      </c>
      <c r="E7" s="1">
        <f>IF((E$3&gt;0),(1000*('Data Entry'!D10/'Data Entry'!D$6)), 0)</f>
        <v>27.108433734939759</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5.5696202531645573</v>
      </c>
    </row>
    <row r="8" spans="2:11" ht="15" customHeight="1" x14ac:dyDescent="0.25">
      <c r="B8" s="16" t="s">
        <v>95</v>
      </c>
      <c r="C8" s="1">
        <f>IF((C$3&gt;0),(1000*('Data Entry'!B11/'Data Entry'!B$6)), 0)</f>
        <v>11.379310344827587</v>
      </c>
      <c r="D8" s="1">
        <f>IF((D$3&gt;0),(1000*('Data Entry'!C11/'Data Entry'!C$6)), 0)</f>
        <v>10.805194805194805</v>
      </c>
      <c r="E8" s="1">
        <f>IF((E$3&gt;0),(1000*('Data Entry'!D11/'Data Entry'!D$6)), 0)</f>
        <v>60.24096385542169</v>
      </c>
      <c r="F8" s="1">
        <f>IF((F$3&gt;0),(1000*('Data Entry'!E11/'Data Entry'!E$6)), 0)</f>
        <v>4.8209366391184574</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14.177215189873417</v>
      </c>
    </row>
    <row r="9" spans="2:11" ht="15" customHeight="1" x14ac:dyDescent="0.25">
      <c r="B9" s="16" t="s">
        <v>13</v>
      </c>
      <c r="C9" s="1">
        <f>IF((C$3&gt;0),(1000*('Data Entry'!B12/'Data Entry'!B$6)), 0)</f>
        <v>5.3448275862068959</v>
      </c>
      <c r="D9" s="1">
        <f>IF((D$3&gt;0),(1000*('Data Entry'!C12/'Data Entry'!C$6)), 0)</f>
        <v>4.883116883116883</v>
      </c>
      <c r="E9" s="1">
        <f>IF((E$3&gt;0),(1000*('Data Entry'!D12/'Data Entry'!D$6)), 0)</f>
        <v>27.108433734939759</v>
      </c>
      <c r="F9" s="1">
        <f>IF((F$3&gt;0),(1000*('Data Entry'!E12/'Data Entry'!E$6)), 0)</f>
        <v>3.443526170798898</v>
      </c>
      <c r="G9" s="1">
        <f>IF((G$3&gt;0),(1000*('Data Entry'!F12/'Data Entry'!F$6)), 0)</f>
        <v>0</v>
      </c>
      <c r="H9" s="1">
        <f>IF((H$3&gt;0),(1000*('Data Entry'!G12/'Data Entry'!G$6)), 0)</f>
        <v>0</v>
      </c>
      <c r="I9" s="1">
        <f>IF((I$3&gt;0),(1000*('Data Entry'!H12/'Data Entry'!H$6)), 0)</f>
        <v>0</v>
      </c>
      <c r="J9" s="1">
        <f>IF((J$3&gt;0),(1000*('Data Entry'!I12/'Data Entry'!I$6)), 0)</f>
        <v>0</v>
      </c>
      <c r="K9" s="1">
        <f>IF((K$3&gt;0),(1000*('Data Entry'!J12/'Data Entry'!J$6)), 0)</f>
        <v>7.5949367088607591</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3.8793103448275863</v>
      </c>
      <c r="D11" s="1">
        <f>IF((D$3&gt;0),(1000*('Data Entry'!C14/'Data Entry'!C$6)), 0)</f>
        <v>4.6753246753246751</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Allegan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6.9578313253012052</v>
      </c>
      <c r="E19" s="72" t="str">
        <f t="shared" si="1"/>
        <v>--</v>
      </c>
      <c r="F19" s="72" t="str">
        <f t="shared" si="1"/>
        <v>--</v>
      </c>
      <c r="G19" s="72" t="str">
        <f t="shared" si="1"/>
        <v>--</v>
      </c>
      <c r="H19" s="72" t="str">
        <f t="shared" si="1"/>
        <v>--</v>
      </c>
      <c r="I19" s="72" t="str">
        <f t="shared" si="1"/>
        <v>--</v>
      </c>
      <c r="J19" s="73">
        <f t="shared" si="1"/>
        <v>1.169620253164557</v>
      </c>
    </row>
    <row r="20" spans="2:10" ht="15" customHeight="1" x14ac:dyDescent="0.25">
      <c r="B20" s="71" t="s">
        <v>9</v>
      </c>
      <c r="C20" s="72">
        <f t="shared" ref="C20:J27" si="2">IF(AND(($D5&gt;0),(D5&gt;0)), (D5/$D5),"--")</f>
        <v>1</v>
      </c>
      <c r="D20" s="72">
        <f t="shared" si="2"/>
        <v>7.9725150602409629</v>
      </c>
      <c r="E20" s="72">
        <f t="shared" si="2"/>
        <v>0.49715909090909088</v>
      </c>
      <c r="F20" s="72">
        <f t="shared" si="2"/>
        <v>0.74266975308641969</v>
      </c>
      <c r="G20" s="72" t="str">
        <f t="shared" si="2"/>
        <v>--</v>
      </c>
      <c r="H20" s="72" t="str">
        <f t="shared" si="2"/>
        <v>--</v>
      </c>
      <c r="I20" s="72" t="str">
        <f t="shared" si="2"/>
        <v>--</v>
      </c>
      <c r="J20" s="73">
        <f t="shared" si="2"/>
        <v>1.9899789029535864</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f t="shared" si="2"/>
        <v>17.39457831325301</v>
      </c>
      <c r="E22" s="72" t="str">
        <f t="shared" si="2"/>
        <v>--</v>
      </c>
      <c r="F22" s="72" t="str">
        <f t="shared" si="2"/>
        <v>--</v>
      </c>
      <c r="G22" s="72" t="str">
        <f t="shared" si="2"/>
        <v>--</v>
      </c>
      <c r="H22" s="72" t="str">
        <f t="shared" si="2"/>
        <v>--</v>
      </c>
      <c r="I22" s="72" t="str">
        <f t="shared" si="2"/>
        <v>--</v>
      </c>
      <c r="J22" s="73">
        <f t="shared" si="2"/>
        <v>3.5738396624472575</v>
      </c>
    </row>
    <row r="23" spans="2:10" ht="15" customHeight="1" x14ac:dyDescent="0.25">
      <c r="B23" s="71" t="s">
        <v>95</v>
      </c>
      <c r="C23" s="72">
        <f t="shared" si="2"/>
        <v>1</v>
      </c>
      <c r="D23" s="72">
        <f t="shared" si="2"/>
        <v>5.575185356811863</v>
      </c>
      <c r="E23" s="72">
        <f t="shared" si="2"/>
        <v>0.44616841491841491</v>
      </c>
      <c r="F23" s="72" t="str">
        <f t="shared" si="2"/>
        <v>--</v>
      </c>
      <c r="G23" s="72" t="str">
        <f t="shared" si="2"/>
        <v>--</v>
      </c>
      <c r="H23" s="72" t="str">
        <f t="shared" si="2"/>
        <v>--</v>
      </c>
      <c r="I23" s="72" t="str">
        <f t="shared" si="2"/>
        <v>--</v>
      </c>
      <c r="J23" s="73">
        <f t="shared" si="2"/>
        <v>1.3120740019474195</v>
      </c>
    </row>
    <row r="24" spans="2:10" ht="15" customHeight="1" x14ac:dyDescent="0.25">
      <c r="B24" s="71" t="s">
        <v>13</v>
      </c>
      <c r="C24" s="72">
        <f t="shared" si="2"/>
        <v>1</v>
      </c>
      <c r="D24" s="72">
        <f t="shared" si="2"/>
        <v>5.5514611638041531</v>
      </c>
      <c r="E24" s="72">
        <f t="shared" si="2"/>
        <v>0.70519019987105092</v>
      </c>
      <c r="F24" s="72" t="str">
        <f t="shared" si="2"/>
        <v>--</v>
      </c>
      <c r="G24" s="72" t="str">
        <f t="shared" si="2"/>
        <v>--</v>
      </c>
      <c r="H24" s="72" t="str">
        <f t="shared" si="2"/>
        <v>--</v>
      </c>
      <c r="I24" s="72" t="str">
        <f t="shared" si="2"/>
        <v>--</v>
      </c>
      <c r="J24" s="73">
        <f t="shared" si="2"/>
        <v>1.5553460813358471</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Allegan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9625</v>
      </c>
      <c r="D7" s="105">
        <f>'Data Entry'!D6</f>
        <v>332</v>
      </c>
      <c r="E7" s="106"/>
      <c r="F7" s="107">
        <f>'Data Entry'!E6</f>
        <v>1452</v>
      </c>
      <c r="G7" s="106"/>
      <c r="H7" s="107">
        <f>'Data Entry'!F6</f>
        <v>108</v>
      </c>
      <c r="I7" s="106"/>
      <c r="J7" s="107">
        <f>'Data Entry'!G6</f>
        <v>0</v>
      </c>
      <c r="K7" s="106"/>
      <c r="L7" s="107">
        <f>'Data Entry'!H6</f>
        <v>83</v>
      </c>
      <c r="M7" s="106"/>
      <c r="N7" s="107">
        <f>'Data Entry'!I6</f>
        <v>0</v>
      </c>
      <c r="O7" s="106"/>
      <c r="P7" s="107">
        <f>'Data Entry'!J6</f>
        <v>1975</v>
      </c>
      <c r="Q7" s="108"/>
    </row>
    <row r="8" spans="2:26" s="1" customFormat="1" ht="15" customHeight="1" x14ac:dyDescent="0.3">
      <c r="B8" s="149" t="s">
        <v>8</v>
      </c>
      <c r="C8" s="104">
        <f>'Data Entry'!C7</f>
        <v>75</v>
      </c>
      <c r="D8" s="105">
        <f>'Data Entry'!D7</f>
        <v>18</v>
      </c>
      <c r="E8" s="106">
        <f>'Black or African-American'!$G7</f>
        <v>6.9578313253012052</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18</v>
      </c>
      <c r="Q8" s="108">
        <f>'All Minorities'!G7</f>
        <v>1.1696202531645568</v>
      </c>
      <c r="R8"/>
      <c r="T8" s="1">
        <f>'Black or African-American'!L7</f>
        <v>1</v>
      </c>
      <c r="U8" s="1">
        <f>Hispanic!L7</f>
        <v>20</v>
      </c>
      <c r="V8" s="1">
        <f>Asian!L7</f>
        <v>139</v>
      </c>
      <c r="W8" s="1" t="e">
        <f>Hawaiian!L7</f>
        <v>#VALUE!</v>
      </c>
      <c r="X8" s="1">
        <f>'Am Indian'!L7</f>
        <v>139</v>
      </c>
      <c r="Y8" s="1" t="e">
        <f>'Other - Mixed'!L7</f>
        <v>#VALUE!</v>
      </c>
      <c r="Z8" s="1">
        <f>'All Minorities'!L7</f>
        <v>2</v>
      </c>
    </row>
    <row r="9" spans="2:26" s="1" customFormat="1" ht="15" customHeight="1" x14ac:dyDescent="0.3">
      <c r="B9" s="149" t="s">
        <v>134</v>
      </c>
      <c r="C9" s="104">
        <f>'Data Entry'!C8</f>
        <v>120</v>
      </c>
      <c r="D9" s="109">
        <f>'Data Entry'!D8</f>
        <v>33</v>
      </c>
      <c r="E9" s="110" t="str">
        <f>'Black or African-American'!$G8</f>
        <v>**</v>
      </c>
      <c r="F9" s="111">
        <f>'Data Entry'!E8</f>
        <v>9</v>
      </c>
      <c r="G9" s="110" t="str">
        <f>Hispanic!G8</f>
        <v>**</v>
      </c>
      <c r="H9" s="111">
        <f>'Data Entry'!F8</f>
        <v>1</v>
      </c>
      <c r="I9" s="110" t="str">
        <f>Asian!G8</f>
        <v>*</v>
      </c>
      <c r="J9" s="111">
        <f>'Data Entry'!G8</f>
        <v>0</v>
      </c>
      <c r="K9" s="110" t="str">
        <f>Hawaiian!G8</f>
        <v>*</v>
      </c>
      <c r="L9" s="111">
        <f>'Data Entry'!H8</f>
        <v>0</v>
      </c>
      <c r="M9" s="110" t="str">
        <f>'Am Indian'!G8</f>
        <v>*</v>
      </c>
      <c r="N9" s="111">
        <f>'Data Entry'!I8</f>
        <v>6</v>
      </c>
      <c r="O9" s="110" t="str">
        <f>'Other - Mixed'!G8</f>
        <v>*</v>
      </c>
      <c r="P9" s="111">
        <f>'Data Entry'!J8</f>
        <v>49</v>
      </c>
      <c r="Q9" s="112" t="str">
        <f>'All Minorities'!G8</f>
        <v>**</v>
      </c>
      <c r="R9"/>
      <c r="T9" s="1">
        <f>'Black or African-American'!L8</f>
        <v>40</v>
      </c>
      <c r="U9" s="1">
        <f>Hispanic!L8</f>
        <v>20</v>
      </c>
      <c r="V9" s="1">
        <f>Asian!L8</f>
        <v>119</v>
      </c>
      <c r="W9" s="1">
        <f>Hawaiian!L8</f>
        <v>139</v>
      </c>
      <c r="X9" s="1">
        <f>'Am Indian'!L8</f>
        <v>139</v>
      </c>
      <c r="Y9" s="1">
        <f>'Other - Mixed'!L8</f>
        <v>119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15</v>
      </c>
      <c r="D11" s="109">
        <f>'Data Entry'!D10</f>
        <v>9</v>
      </c>
      <c r="E11" s="110">
        <f>'Black or African-American'!$G10</f>
        <v>2.1818181818181817</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2</v>
      </c>
      <c r="O11" s="110" t="str">
        <f>'Other - Mixed'!G10</f>
        <v>*</v>
      </c>
      <c r="P11" s="111">
        <f>'Data Entry'!J10</f>
        <v>11</v>
      </c>
      <c r="Q11" s="112">
        <f>'All Minorities'!G10</f>
        <v>1.7959183673469388</v>
      </c>
      <c r="R11"/>
      <c r="T11" s="1">
        <f>'Black or African-American'!L10</f>
        <v>1</v>
      </c>
      <c r="U11" s="1">
        <f>Hispanic!L10</f>
        <v>40</v>
      </c>
      <c r="V11" s="1">
        <f>Asian!L10</f>
        <v>139</v>
      </c>
      <c r="W11" s="1" t="e">
        <f>Hawaiian!L10</f>
        <v>#VALUE!</v>
      </c>
      <c r="X11" s="1" t="e">
        <f>'Am Indian'!L10</f>
        <v>#VALUE!</v>
      </c>
      <c r="Y11" s="1">
        <f>'Other - Mixed'!L10</f>
        <v>139</v>
      </c>
      <c r="Z11" s="1">
        <f>'All Minorities'!L10</f>
        <v>2</v>
      </c>
    </row>
    <row r="12" spans="2:26" s="1" customFormat="1" ht="15" customHeight="1" x14ac:dyDescent="0.3">
      <c r="B12" s="149" t="s">
        <v>95</v>
      </c>
      <c r="C12" s="104">
        <f>'Data Entry'!C11</f>
        <v>104</v>
      </c>
      <c r="D12" s="113">
        <f>'Data Entry'!D11</f>
        <v>20</v>
      </c>
      <c r="E12" s="114">
        <f>'Black or African-American'!$G11</f>
        <v>0.69930069930069927</v>
      </c>
      <c r="F12" s="115">
        <f>'Data Entry'!E11</f>
        <v>7</v>
      </c>
      <c r="G12" s="114" t="str">
        <f>Hispanic!G11</f>
        <v>**</v>
      </c>
      <c r="H12" s="115">
        <f>'Data Entry'!F11</f>
        <v>0</v>
      </c>
      <c r="I12" s="114" t="str">
        <f>Asian!G11</f>
        <v>*</v>
      </c>
      <c r="J12" s="115">
        <f>'Data Entry'!G11</f>
        <v>0</v>
      </c>
      <c r="K12" s="114" t="str">
        <f>Hawaiian!G11</f>
        <v>*</v>
      </c>
      <c r="L12" s="115">
        <f>'Data Entry'!H11</f>
        <v>0</v>
      </c>
      <c r="M12" s="114" t="str">
        <f>'Am Indian'!G11</f>
        <v>*</v>
      </c>
      <c r="N12" s="115">
        <f>'Data Entry'!I11</f>
        <v>1</v>
      </c>
      <c r="O12" s="114" t="str">
        <f>'Other - Mixed'!G11</f>
        <v>*</v>
      </c>
      <c r="P12" s="115">
        <f>'Data Entry'!J11</f>
        <v>28</v>
      </c>
      <c r="Q12" s="116">
        <f>'All Minorities'!G11</f>
        <v>0.65934065934065933</v>
      </c>
      <c r="R12"/>
      <c r="T12" s="1">
        <f>'Black or African-American'!L11</f>
        <v>1</v>
      </c>
      <c r="U12" s="1">
        <f>Hispanic!L11</f>
        <v>40</v>
      </c>
      <c r="V12" s="1">
        <f>Asian!L11</f>
        <v>119</v>
      </c>
      <c r="W12" s="1" t="e">
        <f>Hawaiian!L11</f>
        <v>#VALUE!</v>
      </c>
      <c r="X12" s="1" t="e">
        <f>'Am Indian'!L11</f>
        <v>#VALUE!</v>
      </c>
      <c r="Y12" s="1">
        <f>'Other - Mixed'!L11</f>
        <v>119</v>
      </c>
      <c r="Z12" s="1">
        <f>'All Minorities'!L11</f>
        <v>1</v>
      </c>
    </row>
    <row r="13" spans="2:26" s="1" customFormat="1" ht="15" customHeight="1" x14ac:dyDescent="0.3">
      <c r="B13" s="149" t="s">
        <v>13</v>
      </c>
      <c r="C13" s="104">
        <f>'Data Entry'!C12</f>
        <v>47</v>
      </c>
      <c r="D13" s="109">
        <f>'Data Entry'!D12</f>
        <v>9</v>
      </c>
      <c r="E13" s="110" t="str">
        <f>'Black or African-American'!$G12</f>
        <v>**</v>
      </c>
      <c r="F13" s="111">
        <f>'Data Entry'!E12</f>
        <v>5</v>
      </c>
      <c r="G13" s="110" t="str">
        <f>Hispanic!G12</f>
        <v>**</v>
      </c>
      <c r="H13" s="111">
        <f>'Data Entry'!F12</f>
        <v>0</v>
      </c>
      <c r="I13" s="110" t="str">
        <f>Asian!G12</f>
        <v>*</v>
      </c>
      <c r="J13" s="111">
        <f>'Data Entry'!G12</f>
        <v>0</v>
      </c>
      <c r="K13" s="110" t="str">
        <f>Hawaiian!G12</f>
        <v>*</v>
      </c>
      <c r="L13" s="111">
        <f>'Data Entry'!H12</f>
        <v>0</v>
      </c>
      <c r="M13" s="110" t="str">
        <f>'Am Indian'!G12</f>
        <v>*</v>
      </c>
      <c r="N13" s="111">
        <f>'Data Entry'!I12</f>
        <v>1</v>
      </c>
      <c r="O13" s="110" t="str">
        <f>'Other - Mixed'!G12</f>
        <v>*</v>
      </c>
      <c r="P13" s="111">
        <f>'Data Entry'!J12</f>
        <v>15</v>
      </c>
      <c r="Q13" s="112"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40</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45</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f>'Black or African-American'!L14</f>
        <v>20</v>
      </c>
      <c r="U15" s="1">
        <f>Hispanic!L14</f>
        <v>20</v>
      </c>
      <c r="V15" s="1" t="e">
        <f>Asian!L14</f>
        <v>#VALUE!</v>
      </c>
      <c r="W15" s="1" t="e">
        <f>Hawaiian!L14</f>
        <v>#VALUE!</v>
      </c>
      <c r="X15" s="1" t="e">
        <f>'Am Indian'!L14</f>
        <v>#VALUE!</v>
      </c>
      <c r="Y15" s="1">
        <f>'Other - Mixed'!L14</f>
        <v>119</v>
      </c>
      <c r="Z15" s="1">
        <f>'All Minorities'!L14</f>
        <v>20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Allegan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Allegan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4.8734177215189867</v>
      </c>
    </row>
    <row r="8" spans="1:12" ht="25.5" customHeight="1" x14ac:dyDescent="0.2">
      <c r="A8" s="158" t="str">
        <f>CONCATENATE("Confinement, total N=", 'Data Entry'!B14)</f>
        <v>Confinement, total N=45</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N=45</v>
      </c>
      <c r="L8">
        <f>I14/(SUM(B14:G14))</f>
        <v>4.8734177215189867</v>
      </c>
    </row>
    <row r="9" spans="1:12" x14ac:dyDescent="0.2">
      <c r="A9" s="132" t="str">
        <f>CONCATENATE("Delinquent Findings, total N=", 'Data Entry'!B12)</f>
        <v>Delinquent Findings, total N=62</v>
      </c>
      <c r="B9" s="157">
        <f>'Data Entry'!D12/'Data Entry'!B12</f>
        <v>0.14516129032258066</v>
      </c>
      <c r="C9" s="157">
        <f>'Data Entry'!E12/'Data Entry'!B12</f>
        <v>8.0645161290322578E-2</v>
      </c>
      <c r="D9" s="157">
        <f>'Data Entry'!F12/'Data Entry'!B12</f>
        <v>0</v>
      </c>
      <c r="E9" s="157">
        <f>'Data Entry'!G12/'Data Entry'!B12</f>
        <v>0</v>
      </c>
      <c r="F9" s="157">
        <f>'Data Entry'!H12/'Data Entry'!B12</f>
        <v>0</v>
      </c>
      <c r="G9" s="157">
        <f>'Data Entry'!I12/'Data Entry'!B12</f>
        <v>1.6129032258064516E-2</v>
      </c>
      <c r="H9" s="157">
        <f>SUM(D9:G9)/'Data Entry'!B12</f>
        <v>2.6014568158168571E-4</v>
      </c>
      <c r="I9" s="157">
        <f>'Data Entry'!C12/'Data Entry'!B12</f>
        <v>0.75806451612903225</v>
      </c>
      <c r="K9" s="97" t="str">
        <f t="shared" si="0"/>
        <v>Delinquent Findings, total N=62</v>
      </c>
      <c r="L9">
        <f>I14/(SUM(B14:G14))</f>
        <v>4.8734177215189867</v>
      </c>
    </row>
    <row r="10" spans="1:12" x14ac:dyDescent="0.2">
      <c r="A10" s="132" t="str">
        <f>CONCATENATE("Petitions, total N=", 'Data Entry'!B11)</f>
        <v>Petitions, total N=132</v>
      </c>
      <c r="B10" s="157">
        <f>'Data Entry'!D11/'Data Entry'!B11</f>
        <v>0.15151515151515152</v>
      </c>
      <c r="C10" s="157">
        <f>'Data Entry'!E11/'Data Entry'!B11</f>
        <v>5.3030303030303032E-2</v>
      </c>
      <c r="D10" s="157">
        <f>'Data Entry'!F11/'Data Entry'!B11</f>
        <v>0</v>
      </c>
      <c r="E10" s="157">
        <f>'Data Entry'!G11/'Data Entry'!B11</f>
        <v>0</v>
      </c>
      <c r="F10" s="157">
        <f>'Data Entry'!H11/'Data Entry'!B11</f>
        <v>0</v>
      </c>
      <c r="G10" s="157">
        <f>'Data Entry'!I11/'Data Entry'!B11</f>
        <v>7.575757575757576E-3</v>
      </c>
      <c r="H10" s="157">
        <f>SUM(D10:G10)/'Data Entry'!B11</f>
        <v>5.7392102846648301E-5</v>
      </c>
      <c r="I10" s="157">
        <f>'Data Entry'!C11/'Data Entry'!B11</f>
        <v>0.78787878787878785</v>
      </c>
      <c r="K10" s="97" t="str">
        <f t="shared" si="0"/>
        <v>Petitions, total N=132</v>
      </c>
      <c r="L10">
        <f>I14/(SUM(B14:G14))</f>
        <v>4.8734177215189867</v>
      </c>
    </row>
    <row r="11" spans="1:12" x14ac:dyDescent="0.2">
      <c r="A11" s="132" t="str">
        <f>CONCATENATE("Detentions, total N=", 'Data Entry'!B10)</f>
        <v>Detentions, total N=26</v>
      </c>
      <c r="B11" s="157">
        <f>'Data Entry'!D10/'Data Entry'!B10</f>
        <v>0.34615384615384615</v>
      </c>
      <c r="C11" s="157">
        <f>'Data Entry'!E10/'Data Entry'!B10</f>
        <v>0</v>
      </c>
      <c r="D11" s="157">
        <f>'Data Entry'!F10/'Data Entry'!B10</f>
        <v>0</v>
      </c>
      <c r="E11" s="157">
        <f>'Data Entry'!G10/'Data Entry'!B10</f>
        <v>0</v>
      </c>
      <c r="F11" s="157">
        <f>'Data Entry'!H10/'Data Entry'!B10</f>
        <v>0</v>
      </c>
      <c r="G11" s="157">
        <f>'Data Entry'!I10/'Data Entry'!B10</f>
        <v>7.6923076923076927E-2</v>
      </c>
      <c r="H11" s="157">
        <f>SUM(D11:G11)/'Data Entry'!B10</f>
        <v>2.9585798816568051E-3</v>
      </c>
      <c r="I11" s="157">
        <f>'Data Entry'!C10/'Data Entry'!B10</f>
        <v>0.57692307692307687</v>
      </c>
      <c r="K11" s="97" t="str">
        <f t="shared" si="0"/>
        <v>Detentions, total N=26</v>
      </c>
      <c r="L11">
        <f>I14/(SUM(B14:G14))</f>
        <v>4.8734177215189867</v>
      </c>
    </row>
    <row r="12" spans="1:12" x14ac:dyDescent="0.2">
      <c r="A12" s="132" t="str">
        <f>CONCATENATE("Referrals, total N=", 'Data Entry'!B8)</f>
        <v>Referrals, total N=169</v>
      </c>
      <c r="B12" s="157">
        <f>'Data Entry'!D8/'Data Entry'!B8</f>
        <v>0.19526627218934911</v>
      </c>
      <c r="C12" s="157">
        <f>'Data Entry'!E8/'Data Entry'!B8</f>
        <v>5.3254437869822487E-2</v>
      </c>
      <c r="D12" s="157">
        <f>'Data Entry'!F8/'Data Entry'!B8</f>
        <v>5.9171597633136093E-3</v>
      </c>
      <c r="E12" s="157">
        <f>'Data Entry'!G8/'Data Entry'!B8</f>
        <v>0</v>
      </c>
      <c r="F12" s="157">
        <f>'Data Entry'!H8/'Data Entry'!B8</f>
        <v>0</v>
      </c>
      <c r="G12" s="157">
        <f>'Data Entry'!I8/'Data Entry'!B8</f>
        <v>3.5502958579881658E-2</v>
      </c>
      <c r="H12" s="157">
        <f>SUM(D12:G12)/'Data Entry'!B8</f>
        <v>2.4508945765204304E-4</v>
      </c>
      <c r="I12" s="157">
        <f>'Data Entry'!C8/'Data Entry'!B8</f>
        <v>0.7100591715976331</v>
      </c>
      <c r="K12" s="97" t="str">
        <f t="shared" si="0"/>
        <v>Referrals, total N=169</v>
      </c>
      <c r="L12">
        <f>I14/(SUM(B14:G14))</f>
        <v>4.8734177215189867</v>
      </c>
    </row>
    <row r="13" spans="1:12" x14ac:dyDescent="0.2">
      <c r="A13" s="132" t="str">
        <f>CONCATENATE("Arrests, total N=", 'Data Entry'!B7)</f>
        <v>Arrests, total N=97</v>
      </c>
      <c r="B13" s="157">
        <f>'Data Entry'!D7/'Data Entry'!B7</f>
        <v>0.18556701030927836</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0.77319587628865982</v>
      </c>
      <c r="K13" s="97" t="str">
        <f t="shared" si="0"/>
        <v>Arrests, total N=97</v>
      </c>
      <c r="L13">
        <f>I14/(SUM(B14:G14))</f>
        <v>4.8734177215189867</v>
      </c>
    </row>
    <row r="14" spans="1:12" x14ac:dyDescent="0.2">
      <c r="A14" s="132" t="str">
        <f>CONCATENATE("Population, total N=", 'Data Entry'!B6)</f>
        <v>Population, total N=11600</v>
      </c>
      <c r="B14" s="157">
        <f>'Data Entry'!D6/'Data Entry'!B6</f>
        <v>2.8620689655172414E-2</v>
      </c>
      <c r="C14" s="157">
        <f>'Data Entry'!E6/'Data Entry'!B6</f>
        <v>0.12517241379310345</v>
      </c>
      <c r="D14" s="157">
        <f>'Data Entry'!F6/'Data Entry'!B6</f>
        <v>9.3103448275862061E-3</v>
      </c>
      <c r="E14" s="157">
        <f>'Data Entry'!G6/'Data Entry'!B6</f>
        <v>0</v>
      </c>
      <c r="F14" s="157">
        <f>'Data Entry'!H6/'Data Entry'!B6</f>
        <v>7.1551724137931035E-3</v>
      </c>
      <c r="G14" s="157">
        <f>'Data Entry'!I6/'Data Entry'!B6</f>
        <v>0</v>
      </c>
      <c r="H14" s="157">
        <f>SUM(D14:G14)/'Data Entry'!B6</f>
        <v>1.4194411414982165E-6</v>
      </c>
      <c r="I14" s="157">
        <f>'Data Entry'!C6/'Data Entry'!B6</f>
        <v>0.82974137931034486</v>
      </c>
      <c r="K14" s="97" t="str">
        <f t="shared" si="0"/>
        <v>Population, total N=11600</v>
      </c>
      <c r="L14">
        <f>I14/(SUM(B14:G14))</f>
        <v>4.8734177215189867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Allegan</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9625</v>
      </c>
      <c r="D7" s="105">
        <f>'Data Entry'!D6</f>
        <v>332</v>
      </c>
      <c r="E7" s="106"/>
      <c r="F7" s="107">
        <f>'Data Entry'!E6</f>
        <v>1452</v>
      </c>
      <c r="G7" s="106"/>
      <c r="H7" s="107">
        <f>'Data Entry'!F6</f>
        <v>108</v>
      </c>
      <c r="I7" s="106"/>
      <c r="J7" s="107">
        <f>'Data Entry'!J6</f>
        <v>1975</v>
      </c>
      <c r="K7" s="108"/>
    </row>
    <row r="8" spans="2:30" s="1" customFormat="1" ht="15" customHeight="1" x14ac:dyDescent="0.3">
      <c r="B8" s="125" t="s">
        <v>8</v>
      </c>
      <c r="C8" s="104">
        <f>'Data Entry'!C7</f>
        <v>75</v>
      </c>
      <c r="D8" s="105">
        <f>'Data Entry'!D7</f>
        <v>18</v>
      </c>
      <c r="E8" s="106">
        <f>'Black or African-American'!$G7</f>
        <v>6.9578313253012052</v>
      </c>
      <c r="F8" s="107">
        <f>'Data Entry'!E7</f>
        <v>0</v>
      </c>
      <c r="G8" s="106" t="str">
        <f>Hispanic!G7</f>
        <v>**</v>
      </c>
      <c r="H8" s="107">
        <f>'Data Entry'!F7</f>
        <v>0</v>
      </c>
      <c r="I8" s="106" t="str">
        <f>Asian!G7</f>
        <v>*</v>
      </c>
      <c r="J8" s="107">
        <f>'Data Entry'!J7</f>
        <v>18</v>
      </c>
      <c r="K8" s="108">
        <f>'All Minorities'!G7</f>
        <v>1.1696202531645568</v>
      </c>
      <c r="L8"/>
      <c r="N8" s="1">
        <f>'Black or African-American'!L7</f>
        <v>1</v>
      </c>
      <c r="O8" s="1">
        <f>Hispanic!L7</f>
        <v>20</v>
      </c>
      <c r="P8" s="1">
        <f>Asian!L7</f>
        <v>139</v>
      </c>
      <c r="Q8" s="1" t="e">
        <f>Hawaiian!L7</f>
        <v>#VALUE!</v>
      </c>
      <c r="R8" s="1">
        <f>'Am Indian'!L7</f>
        <v>139</v>
      </c>
      <c r="S8" s="1" t="e">
        <f>'Other - Mixed'!L7</f>
        <v>#VALUE!</v>
      </c>
      <c r="T8" s="1">
        <f>'All Minorities'!L7</f>
        <v>2</v>
      </c>
    </row>
    <row r="9" spans="2:30" s="1" customFormat="1" ht="15" customHeight="1" x14ac:dyDescent="0.3">
      <c r="B9" s="125" t="s">
        <v>134</v>
      </c>
      <c r="C9" s="104">
        <f>'Data Entry'!C8</f>
        <v>120</v>
      </c>
      <c r="D9" s="109">
        <f>'Data Entry'!D8</f>
        <v>33</v>
      </c>
      <c r="E9" s="110" t="str">
        <f>'Black or African-American'!$G8</f>
        <v>**</v>
      </c>
      <c r="F9" s="111">
        <f>'Data Entry'!E8</f>
        <v>9</v>
      </c>
      <c r="G9" s="110" t="str">
        <f>Hispanic!G8</f>
        <v>**</v>
      </c>
      <c r="H9" s="111">
        <f>'Data Entry'!F8</f>
        <v>1</v>
      </c>
      <c r="I9" s="110" t="str">
        <f>Asian!G8</f>
        <v>*</v>
      </c>
      <c r="J9" s="111">
        <f>'Data Entry'!J8</f>
        <v>49</v>
      </c>
      <c r="K9" s="112" t="str">
        <f>'All Minorities'!G8</f>
        <v>**</v>
      </c>
      <c r="L9"/>
      <c r="N9" s="1">
        <f>'Black or African-American'!L8</f>
        <v>40</v>
      </c>
      <c r="O9" s="1">
        <f>Hispanic!L8</f>
        <v>20</v>
      </c>
      <c r="P9" s="1">
        <f>Asian!L8</f>
        <v>119</v>
      </c>
      <c r="Q9" s="1">
        <f>Hawaiian!L8</f>
        <v>139</v>
      </c>
      <c r="R9" s="1">
        <f>'Am Indian'!L8</f>
        <v>139</v>
      </c>
      <c r="S9" s="1">
        <f>'Other - Mixed'!L8</f>
        <v>119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15</v>
      </c>
      <c r="D11" s="109">
        <f>'Data Entry'!D10</f>
        <v>9</v>
      </c>
      <c r="E11" s="110">
        <f>'Black or African-American'!$G10</f>
        <v>2.1818181818181817</v>
      </c>
      <c r="F11" s="111">
        <f>'Data Entry'!E10</f>
        <v>0</v>
      </c>
      <c r="G11" s="110" t="str">
        <f>Hispanic!G10</f>
        <v>**</v>
      </c>
      <c r="H11" s="111">
        <f>'Data Entry'!F10</f>
        <v>0</v>
      </c>
      <c r="I11" s="110" t="str">
        <f>Asian!G10</f>
        <v>*</v>
      </c>
      <c r="J11" s="111">
        <f>'Data Entry'!J10</f>
        <v>11</v>
      </c>
      <c r="K11" s="112">
        <f>'All Minorities'!G10</f>
        <v>1.7959183673469388</v>
      </c>
      <c r="L11"/>
      <c r="N11" s="1">
        <f>'Black or African-American'!L10</f>
        <v>1</v>
      </c>
      <c r="O11" s="1">
        <f>Hispanic!L10</f>
        <v>40</v>
      </c>
      <c r="P11" s="1">
        <f>Asian!L10</f>
        <v>139</v>
      </c>
      <c r="Q11" s="1" t="e">
        <f>Hawaiian!L10</f>
        <v>#VALUE!</v>
      </c>
      <c r="R11" s="1" t="e">
        <f>'Am Indian'!L10</f>
        <v>#VALUE!</v>
      </c>
      <c r="S11" s="1">
        <f>'Other - Mixed'!L10</f>
        <v>139</v>
      </c>
      <c r="T11" s="1">
        <f>'All Minorities'!L10</f>
        <v>2</v>
      </c>
    </row>
    <row r="12" spans="2:30" s="1" customFormat="1" ht="15" customHeight="1" x14ac:dyDescent="0.3">
      <c r="B12" s="125" t="s">
        <v>95</v>
      </c>
      <c r="C12" s="104">
        <f>'Data Entry'!C11</f>
        <v>104</v>
      </c>
      <c r="D12" s="113">
        <f>'Data Entry'!D11</f>
        <v>20</v>
      </c>
      <c r="E12" s="114">
        <f>'Black or African-American'!$G11</f>
        <v>0.69930069930069927</v>
      </c>
      <c r="F12" s="115">
        <f>'Data Entry'!E11</f>
        <v>7</v>
      </c>
      <c r="G12" s="114" t="str">
        <f>Hispanic!G11</f>
        <v>**</v>
      </c>
      <c r="H12" s="115">
        <f>'Data Entry'!F11</f>
        <v>0</v>
      </c>
      <c r="I12" s="114" t="str">
        <f>Asian!G11</f>
        <v>*</v>
      </c>
      <c r="J12" s="115">
        <f>'Data Entry'!J11</f>
        <v>28</v>
      </c>
      <c r="K12" s="116">
        <f>'All Minorities'!G11</f>
        <v>0.65934065934065933</v>
      </c>
      <c r="L12"/>
      <c r="N12" s="1">
        <f>'Black or African-American'!L11</f>
        <v>1</v>
      </c>
      <c r="O12" s="1">
        <f>Hispanic!L11</f>
        <v>40</v>
      </c>
      <c r="P12" s="1">
        <f>Asian!L11</f>
        <v>119</v>
      </c>
      <c r="Q12" s="1" t="e">
        <f>Hawaiian!L11</f>
        <v>#VALUE!</v>
      </c>
      <c r="R12" s="1" t="e">
        <f>'Am Indian'!L11</f>
        <v>#VALUE!</v>
      </c>
      <c r="S12" s="1">
        <f>'Other - Mixed'!L11</f>
        <v>119</v>
      </c>
      <c r="T12" s="1">
        <f>'All Minorities'!L11</f>
        <v>1</v>
      </c>
    </row>
    <row r="13" spans="2:30" s="1" customFormat="1" ht="15" customHeight="1" x14ac:dyDescent="0.3">
      <c r="B13" s="125" t="s">
        <v>13</v>
      </c>
      <c r="C13" s="104">
        <f>'Data Entry'!C12</f>
        <v>47</v>
      </c>
      <c r="D13" s="109">
        <f>'Data Entry'!D12</f>
        <v>9</v>
      </c>
      <c r="E13" s="110" t="str">
        <f>'Black or African-American'!$G12</f>
        <v>**</v>
      </c>
      <c r="F13" s="111">
        <f>'Data Entry'!E12</f>
        <v>5</v>
      </c>
      <c r="G13" s="110" t="str">
        <f>Hispanic!G12</f>
        <v>**</v>
      </c>
      <c r="H13" s="111">
        <f>'Data Entry'!F12</f>
        <v>0</v>
      </c>
      <c r="I13" s="110" t="str">
        <f>Asian!G12</f>
        <v>*</v>
      </c>
      <c r="J13" s="111">
        <f>'Data Entry'!J12</f>
        <v>15</v>
      </c>
      <c r="K13" s="112"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45</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f>'Black or African-American'!L14</f>
        <v>20</v>
      </c>
      <c r="O15" s="1">
        <f>Hispanic!L14</f>
        <v>20</v>
      </c>
      <c r="P15" s="1" t="e">
        <f>Asian!L14</f>
        <v>#VALUE!</v>
      </c>
      <c r="Q15" s="1" t="e">
        <f>Hawaiian!L14</f>
        <v>#VALUE!</v>
      </c>
      <c r="R15" s="1" t="e">
        <f>'Am Indian'!L14</f>
        <v>#VALUE!</v>
      </c>
      <c r="S15" s="1">
        <f>'Other - Mixed'!L14</f>
        <v>119</v>
      </c>
      <c r="T15" s="1">
        <f>'All Minorities'!L14</f>
        <v>20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Allegan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9625</v>
      </c>
      <c r="D6" s="34"/>
      <c r="E6" s="33">
        <f>'Data Entry'!D6</f>
        <v>332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75</v>
      </c>
      <c r="D7" s="34">
        <f>IF((AND(C66&gt;0,C7&gt;0)),(C7/C66),0)</f>
        <v>7.7922077922077921</v>
      </c>
      <c r="E7" s="33">
        <f>'Data Entry'!D7</f>
        <v>18</v>
      </c>
      <c r="F7" s="34">
        <f>IF((AND($E$7&gt;0,$D$66&gt;0)),($E$7/$D$66),0)</f>
        <v>54.216867469879517</v>
      </c>
      <c r="G7" s="39">
        <f>IF(L$6=100,"*",IF(M7=FALSE,"--",IF(K7=20,"**",($F7/$D7))))</f>
        <v>6.9578313253012052</v>
      </c>
      <c r="H7" s="40"/>
      <c r="I7" s="41"/>
      <c r="J7" s="40">
        <f>IF((ABS($U7)&gt;Defaults!D$7),1,2)</f>
        <v>1</v>
      </c>
      <c r="K7" s="39">
        <f>IF((AND(N7&gt;Defaults!B$12,(N7+O7)&gt;Defaults!B$13, P7 &gt; Defaults!B$12, (P7+Q7) &gt; Defaults!B$13)),1,20)</f>
        <v>1</v>
      </c>
      <c r="L7" s="1">
        <f>(J7*K7+L$6)-1</f>
        <v>1</v>
      </c>
      <c r="M7" s="1" t="b">
        <f t="shared" ref="M7:M15" si="0">(ISNUMBER(J7))</f>
        <v>1</v>
      </c>
      <c r="N7" s="42">
        <f t="shared" ref="N7:N15" si="1">E7</f>
        <v>18</v>
      </c>
      <c r="O7" s="42">
        <f>E6-E7</f>
        <v>314</v>
      </c>
      <c r="P7" s="42">
        <f t="shared" ref="P7:P15" si="2">C7</f>
        <v>75</v>
      </c>
      <c r="Q7" s="42">
        <f>C6-C7</f>
        <v>9550</v>
      </c>
      <c r="R7" s="42">
        <f t="shared" ref="R7:R15" si="3">SUM(N7:Q7)</f>
        <v>9957</v>
      </c>
      <c r="S7" s="30">
        <f t="shared" ref="S7:S15" si="4">R7*((((N7*Q7)-(O7*P7))^2))</f>
        <v>219130892932500</v>
      </c>
      <c r="T7" s="30">
        <f t="shared" ref="T7:T15" si="5">(N7+O7)*(P7+Q7)*(N7+P7)*(O7+Q7)</f>
        <v>2931398316000</v>
      </c>
      <c r="U7" s="31">
        <f t="shared" ref="U7:U15" si="6">IF((S7&gt;0),S7/T7,"- -")</f>
        <v>74.753025454252182</v>
      </c>
    </row>
    <row r="8" spans="2:21" ht="18" customHeight="1" x14ac:dyDescent="0.25">
      <c r="B8" s="32" t="str">
        <f>'Data Entry'!A8</f>
        <v>3. Refer to Juvenile Court</v>
      </c>
      <c r="C8" s="33">
        <f>'Data Entry'!C8</f>
        <v>120</v>
      </c>
      <c r="D8" s="34">
        <f>IF((AND(C67&gt;0,C8&gt;0)),(C8/C67),0)</f>
        <v>160</v>
      </c>
      <c r="E8" s="33">
        <f>'Data Entry'!D8</f>
        <v>33</v>
      </c>
      <c r="F8" s="34">
        <f>IF((AND($E$8&gt;0,$D$67&gt;0)),($E8/$D67),0)</f>
        <v>183.33333333333334</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33</v>
      </c>
      <c r="O8" s="42">
        <f>((D67*L67)-E8)+0.05</f>
        <v>-14.95</v>
      </c>
      <c r="P8" s="42">
        <f t="shared" si="2"/>
        <v>120</v>
      </c>
      <c r="Q8" s="42">
        <f>(C$67*L67)-C8</f>
        <v>-45</v>
      </c>
      <c r="R8" s="42">
        <f t="shared" si="3"/>
        <v>93.050000000000011</v>
      </c>
      <c r="S8" s="30">
        <f t="shared" si="4"/>
        <v>8884507.0500000007</v>
      </c>
      <c r="T8" s="30">
        <f t="shared" si="5"/>
        <v>-12417068.8125</v>
      </c>
      <c r="U8" s="31">
        <f t="shared" si="6"/>
        <v>-0.71550759556523968</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33</v>
      </c>
      <c r="P9" s="42">
        <f t="shared" si="2"/>
        <v>0</v>
      </c>
      <c r="Q9" s="42">
        <f>(C$68*L68)-C9</f>
        <v>120</v>
      </c>
      <c r="R9" s="42">
        <f t="shared" si="3"/>
        <v>153</v>
      </c>
      <c r="S9" s="30">
        <f t="shared" si="4"/>
        <v>0</v>
      </c>
      <c r="T9" s="30">
        <f t="shared" si="5"/>
        <v>0</v>
      </c>
      <c r="U9" s="31" t="str">
        <f t="shared" si="6"/>
        <v>- -</v>
      </c>
    </row>
    <row r="10" spans="2:21" ht="18" customHeight="1" x14ac:dyDescent="0.25">
      <c r="B10" s="32" t="str">
        <f>'Data Entry'!A10</f>
        <v>5. Cases Involving Secure Detention</v>
      </c>
      <c r="C10" s="33">
        <f>'Data Entry'!C10</f>
        <v>15</v>
      </c>
      <c r="D10" s="34">
        <f>IF(((AND(C68&gt;0,C10&gt;0))),(C10/(C68)),0)</f>
        <v>12.5</v>
      </c>
      <c r="E10" s="33">
        <f>'Data Entry'!D10</f>
        <v>9</v>
      </c>
      <c r="F10" s="34">
        <f>IF(((AND($E$10&gt;0,$D$68&gt;0))),($E$10/($D$68)),0)</f>
        <v>27.27272727272727</v>
      </c>
      <c r="G10" s="39">
        <f t="shared" si="7"/>
        <v>2.1818181818181817</v>
      </c>
      <c r="H10" s="40"/>
      <c r="I10" s="41"/>
      <c r="J10" s="40">
        <f>IF((ABS($U10)&gt;Defaults!D$7),1,2)</f>
        <v>1</v>
      </c>
      <c r="K10" s="39">
        <f>IF((AND(N10&gt;Defaults!B$12,(N10+O10)&gt;Defaults!B$13, P10 &gt; Defaults!B$12, (P10+Q10) &gt; Defaults!B$13)),1,20)</f>
        <v>1</v>
      </c>
      <c r="L10" s="1">
        <f t="shared" si="8"/>
        <v>1</v>
      </c>
      <c r="M10" s="1" t="b">
        <f t="shared" si="0"/>
        <v>1</v>
      </c>
      <c r="N10" s="42">
        <f t="shared" si="1"/>
        <v>9</v>
      </c>
      <c r="O10" s="42">
        <f>(D$68*L68)-E10</f>
        <v>24</v>
      </c>
      <c r="P10" s="42">
        <f t="shared" si="2"/>
        <v>15</v>
      </c>
      <c r="Q10" s="42">
        <f>(C$68*L68)-C10</f>
        <v>105</v>
      </c>
      <c r="R10" s="42">
        <f t="shared" si="3"/>
        <v>153</v>
      </c>
      <c r="S10" s="30">
        <f t="shared" si="4"/>
        <v>52360425</v>
      </c>
      <c r="T10" s="30">
        <f t="shared" si="5"/>
        <v>12260160</v>
      </c>
      <c r="U10" s="31">
        <f t="shared" si="6"/>
        <v>4.2707782769556024</v>
      </c>
    </row>
    <row r="11" spans="2:21" ht="18" customHeight="1" x14ac:dyDescent="0.25">
      <c r="B11" s="32" t="str">
        <f>'Data Entry'!A11</f>
        <v>6. Cases Petitioned (Charge Filed)</v>
      </c>
      <c r="C11" s="33">
        <f>'Data Entry'!C11</f>
        <v>104</v>
      </c>
      <c r="D11" s="34">
        <f>IF(((AND(C68&gt;0,C11&gt;0))),(C11/(C68)),0)</f>
        <v>86.666666666666671</v>
      </c>
      <c r="E11" s="33">
        <f>'Data Entry'!D11</f>
        <v>20</v>
      </c>
      <c r="F11" s="34">
        <f>IF(((AND($E$11&gt;0,$D$68&gt;0))),($E$11/($D$68)),0)</f>
        <v>60.606060606060602</v>
      </c>
      <c r="G11" s="39">
        <f t="shared" si="7"/>
        <v>0.69930069930069927</v>
      </c>
      <c r="H11" s="40"/>
      <c r="I11" s="41"/>
      <c r="J11" s="40">
        <f>IF((ABS($U11)&gt;Defaults!D$7),1,2)</f>
        <v>1</v>
      </c>
      <c r="K11" s="39">
        <f>IF((AND(N11&gt;Defaults!B$12,(N11+O11)&gt;Defaults!B$13, P11 &gt; Defaults!B$12, (P11+Q11) &gt; Defaults!B$13)),1,20)</f>
        <v>1</v>
      </c>
      <c r="L11" s="1">
        <f t="shared" si="8"/>
        <v>1</v>
      </c>
      <c r="M11" s="1" t="b">
        <f t="shared" si="0"/>
        <v>1</v>
      </c>
      <c r="N11" s="42">
        <f t="shared" si="1"/>
        <v>20</v>
      </c>
      <c r="O11" s="42">
        <f>(D$68*L68)-E11</f>
        <v>13</v>
      </c>
      <c r="P11" s="42">
        <f t="shared" si="2"/>
        <v>104</v>
      </c>
      <c r="Q11" s="42">
        <f>(C$68*L68)-C11</f>
        <v>16</v>
      </c>
      <c r="R11" s="42">
        <f t="shared" si="3"/>
        <v>153</v>
      </c>
      <c r="S11" s="30">
        <f t="shared" si="4"/>
        <v>162948672</v>
      </c>
      <c r="T11" s="30">
        <f t="shared" si="5"/>
        <v>14240160</v>
      </c>
      <c r="U11" s="31">
        <f t="shared" si="6"/>
        <v>11.4428961472343</v>
      </c>
    </row>
    <row r="12" spans="2:21" ht="18" customHeight="1" x14ac:dyDescent="0.25">
      <c r="B12" s="32" t="str">
        <f>'Data Entry'!A12</f>
        <v>7. Cases Resulting in Delinquent Findings</v>
      </c>
      <c r="C12" s="33">
        <f>'Data Entry'!C12</f>
        <v>47</v>
      </c>
      <c r="D12" s="34">
        <f>IF(((AND(C69&gt;0,C12&gt;0))),(C12/(C69)),0)</f>
        <v>45.192307692307693</v>
      </c>
      <c r="E12" s="33">
        <f>'Data Entry'!D12</f>
        <v>9</v>
      </c>
      <c r="F12" s="34">
        <f>IF(((AND($D$69&gt;0,$E$12&gt;0))),(E12/(D69)),0)</f>
        <v>45</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9</v>
      </c>
      <c r="O12" s="42">
        <f>(D69*L69)-E12</f>
        <v>11</v>
      </c>
      <c r="P12" s="42">
        <f t="shared" si="2"/>
        <v>47</v>
      </c>
      <c r="Q12" s="42">
        <f>(C69*L69)-C12</f>
        <v>57</v>
      </c>
      <c r="R12" s="42">
        <f t="shared" si="3"/>
        <v>124</v>
      </c>
      <c r="S12" s="30">
        <f t="shared" si="4"/>
        <v>1984</v>
      </c>
      <c r="T12" s="30">
        <f t="shared" si="5"/>
        <v>7920640</v>
      </c>
      <c r="U12" s="31">
        <f t="shared" si="6"/>
        <v>2.504848093083387E-4</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9</v>
      </c>
      <c r="P13" s="42">
        <f t="shared" si="2"/>
        <v>0</v>
      </c>
      <c r="Q13" s="42">
        <f>(C70*L70)-C13</f>
        <v>47</v>
      </c>
      <c r="R13" s="42">
        <f t="shared" si="3"/>
        <v>56</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45</v>
      </c>
      <c r="D14" s="34">
        <f>IF(((AND(C70&gt;0,C14&gt;0))), ((C14/(C70))),0)</f>
        <v>95.744680851063833</v>
      </c>
      <c r="E14" s="33">
        <f>'Data Entry'!D14</f>
        <v>0</v>
      </c>
      <c r="F14" s="34">
        <f>IF(((AND($D$70&gt;0,$E$14&gt;0))), (($E$14/($D$70))),0)</f>
        <v>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0</v>
      </c>
      <c r="O14" s="42">
        <f>(D70*L70)-E14</f>
        <v>9</v>
      </c>
      <c r="P14" s="42">
        <f t="shared" si="2"/>
        <v>45</v>
      </c>
      <c r="Q14" s="42">
        <f>(C70*L70)-C14</f>
        <v>2</v>
      </c>
      <c r="R14" s="42">
        <f t="shared" si="3"/>
        <v>56</v>
      </c>
      <c r="S14" s="30">
        <f t="shared" si="4"/>
        <v>9185400</v>
      </c>
      <c r="T14" s="30">
        <f t="shared" si="5"/>
        <v>209385</v>
      </c>
      <c r="U14" s="31">
        <f t="shared" si="6"/>
        <v>43.868471953578336</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20</v>
      </c>
      <c r="P15" s="42">
        <f t="shared" si="2"/>
        <v>0</v>
      </c>
      <c r="Q15" s="42">
        <f>(C69*L69)-C15</f>
        <v>104</v>
      </c>
      <c r="R15" s="42">
        <f t="shared" si="3"/>
        <v>124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9.625</v>
      </c>
      <c r="D42" s="56">
        <f>E6/1000</f>
        <v>0.33200000000000002</v>
      </c>
      <c r="E42" s="56">
        <f>MAX(C42:D42)</f>
        <v>9.625</v>
      </c>
      <c r="G42" s="1" t="str">
        <f>B42</f>
        <v>per 1000 youth</v>
      </c>
      <c r="L42" s="57">
        <v>1000</v>
      </c>
      <c r="M42" s="57"/>
      <c r="R42" s="49"/>
    </row>
    <row r="43" spans="2:18" ht="15" hidden="1" customHeight="1" x14ac:dyDescent="0.25">
      <c r="B43" s="49" t="s">
        <v>87</v>
      </c>
      <c r="C43" s="56">
        <f>C7/100</f>
        <v>0.75</v>
      </c>
      <c r="D43" s="56">
        <f>E7/100</f>
        <v>0.18</v>
      </c>
      <c r="E43" s="56">
        <f>MAX(C43:D43,0)</f>
        <v>0.75</v>
      </c>
      <c r="G43" s="1" t="str">
        <f>B43</f>
        <v>per 100 arrests</v>
      </c>
      <c r="L43" s="57">
        <v>100</v>
      </c>
      <c r="M43" s="57"/>
      <c r="R43" s="49"/>
    </row>
    <row r="44" spans="2:18" ht="15" hidden="1" customHeight="1" x14ac:dyDescent="0.25">
      <c r="B44" s="49" t="s">
        <v>88</v>
      </c>
      <c r="C44" s="56">
        <f>C8/100</f>
        <v>1.2</v>
      </c>
      <c r="D44" s="56">
        <f>E8/100</f>
        <v>0.33</v>
      </c>
      <c r="E44" s="56">
        <f>MAX(C44:D44,0)</f>
        <v>1.2</v>
      </c>
      <c r="G44" s="1" t="str">
        <f>B44</f>
        <v>per 100 referrals</v>
      </c>
      <c r="L44" s="57">
        <v>100</v>
      </c>
      <c r="M44" s="57"/>
      <c r="R44" s="49"/>
    </row>
    <row r="45" spans="2:18" ht="15" hidden="1" customHeight="1" x14ac:dyDescent="0.25">
      <c r="B45" s="49" t="s">
        <v>89</v>
      </c>
      <c r="C45" s="49">
        <f>C11/100</f>
        <v>1.04</v>
      </c>
      <c r="D45" s="49">
        <f>E11/100</f>
        <v>0.2</v>
      </c>
      <c r="E45" s="56">
        <f>MAX(C45:D45,0)</f>
        <v>1.04</v>
      </c>
      <c r="G45" s="1" t="str">
        <f>B45</f>
        <v>per 100 youth petitioned</v>
      </c>
      <c r="L45" s="57">
        <v>100</v>
      </c>
      <c r="M45" s="57"/>
      <c r="R45" s="49"/>
    </row>
    <row r="46" spans="2:18" ht="15" hidden="1" customHeight="1" x14ac:dyDescent="0.25">
      <c r="B46" s="49" t="s">
        <v>90</v>
      </c>
      <c r="C46" s="49">
        <f>C12/100</f>
        <v>0.47</v>
      </c>
      <c r="D46" s="49">
        <f>E12/100</f>
        <v>0.09</v>
      </c>
      <c r="E46" s="56">
        <f>MAX(C46:D46)</f>
        <v>0.47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9.625</v>
      </c>
      <c r="D48" s="56">
        <f>D42</f>
        <v>0.33200000000000002</v>
      </c>
      <c r="E48" s="56">
        <f>MAX(C48:D48)</f>
        <v>9.625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0.75</v>
      </c>
      <c r="D49" s="49">
        <f t="shared" si="9"/>
        <v>0.18</v>
      </c>
      <c r="E49" s="49">
        <f>MAX(C49:D49)</f>
        <v>0.75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1.2</v>
      </c>
      <c r="D50" s="49">
        <f t="shared" si="9"/>
        <v>0.33</v>
      </c>
      <c r="E50" s="49">
        <f>MAX(C50:D50)</f>
        <v>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1.04</v>
      </c>
      <c r="D51" s="49">
        <f>IF(($E45&gt;0),D45,D44)</f>
        <v>0.2</v>
      </c>
      <c r="E51" s="49">
        <f>MAX(C51:D51)</f>
        <v>1.04</v>
      </c>
      <c r="G51" s="1" t="str">
        <f>G45</f>
        <v>per 100 youth petitioned</v>
      </c>
      <c r="L51" s="58">
        <f>IF(($E45&gt;0),L45,L44)</f>
        <v>100</v>
      </c>
      <c r="M51" s="58"/>
    </row>
    <row r="52" spans="2:18" ht="15" hidden="1" customHeight="1" x14ac:dyDescent="0.25">
      <c r="B52" s="49" t="str">
        <f>IF(($E46&gt;0),B46,B45)</f>
        <v>per 100 youth found delinquent</v>
      </c>
      <c r="C52" s="49">
        <f>IF(($E46&gt;0),C46,C45)</f>
        <v>0.47</v>
      </c>
      <c r="D52" s="49">
        <f>IF(($E46&gt;0),D46,D45)</f>
        <v>0.09</v>
      </c>
      <c r="E52" s="56">
        <f>MAX(C52:D52)</f>
        <v>0.47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9.625</v>
      </c>
      <c r="D54" s="56">
        <f>D48</f>
        <v>0.33200000000000002</v>
      </c>
      <c r="E54" s="56">
        <f>MAX(C54:D54)</f>
        <v>9.625</v>
      </c>
      <c r="G54" s="1" t="str">
        <f>G48</f>
        <v>per 1000 youth</v>
      </c>
      <c r="L54" s="58">
        <f>L48</f>
        <v>1000</v>
      </c>
      <c r="M54" s="58"/>
    </row>
    <row r="55" spans="2:18" ht="15" hidden="1" customHeight="1" x14ac:dyDescent="0.25">
      <c r="B55" s="49" t="str">
        <f t="shared" ref="B55:D56" si="10">IF(($E49&gt;0),B49,B48)</f>
        <v>per 100 arrests</v>
      </c>
      <c r="C55" s="49">
        <f t="shared" si="10"/>
        <v>0.75</v>
      </c>
      <c r="D55" s="49">
        <f t="shared" si="10"/>
        <v>0.18</v>
      </c>
      <c r="E55" s="49">
        <f>MAX(C55:D55)</f>
        <v>0.75</v>
      </c>
      <c r="G55" s="1" t="str">
        <f>G49</f>
        <v>per 100 arrests</v>
      </c>
      <c r="L55" s="58">
        <f>IF(($E49&gt;0),L49,L48)</f>
        <v>100</v>
      </c>
      <c r="M55" s="58"/>
    </row>
    <row r="56" spans="2:18" ht="15" hidden="1" customHeight="1" x14ac:dyDescent="0.25">
      <c r="B56" s="49" t="str">
        <f t="shared" si="10"/>
        <v>per 100 referrals</v>
      </c>
      <c r="C56" s="49">
        <f t="shared" si="10"/>
        <v>1.2</v>
      </c>
      <c r="D56" s="49">
        <f t="shared" si="10"/>
        <v>0.33</v>
      </c>
      <c r="E56" s="49">
        <f>MAX(C56:D56)</f>
        <v>1.2</v>
      </c>
      <c r="G56" s="1" t="str">
        <f>G50</f>
        <v>per 100 referrals</v>
      </c>
      <c r="L56" s="58">
        <f>IF(($E50&gt;0),L50,L49)</f>
        <v>100</v>
      </c>
      <c r="M56" s="58"/>
    </row>
    <row r="57" spans="2:18" ht="15" hidden="1" customHeight="1" x14ac:dyDescent="0.25">
      <c r="B57" s="49" t="str">
        <f>IF(($E51&gt;0),B51,B49)</f>
        <v>per 100 youth petitioned</v>
      </c>
      <c r="C57" s="49">
        <f>IF(($E51&gt;0),C51,C50)</f>
        <v>1.04</v>
      </c>
      <c r="D57" s="49">
        <f>IF(($E51&gt;0),D51,D50)</f>
        <v>0.2</v>
      </c>
      <c r="E57" s="49">
        <f>MAX(C57:D57)</f>
        <v>1.04</v>
      </c>
      <c r="G57" s="1" t="str">
        <f>G51</f>
        <v>per 100 youth petitioned</v>
      </c>
      <c r="L57" s="58">
        <f>IF(($E51&gt;0),L51,L50)</f>
        <v>100</v>
      </c>
      <c r="M57" s="58"/>
    </row>
    <row r="58" spans="2:18" ht="15" hidden="1" customHeight="1" x14ac:dyDescent="0.25">
      <c r="B58" s="49" t="str">
        <f>IF(($E52&gt;0),B52,B51)</f>
        <v>per 100 youth found delinquent</v>
      </c>
      <c r="C58" s="49">
        <f>IF(($E52&gt;0),C52,C51)</f>
        <v>0.47</v>
      </c>
      <c r="D58" s="49">
        <f>IF(($E52&gt;0),D52,D51)</f>
        <v>0.09</v>
      </c>
      <c r="E58" s="56">
        <f>MAX(C58:D58)</f>
        <v>0.47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9.625</v>
      </c>
      <c r="D60" s="56">
        <f>D54</f>
        <v>0.33200000000000002</v>
      </c>
      <c r="E60" s="56">
        <f>MAX(C60:D60)</f>
        <v>9.625</v>
      </c>
      <c r="G60" s="1" t="str">
        <f>G54</f>
        <v>per 1000 youth</v>
      </c>
      <c r="L60" s="58">
        <f>L54</f>
        <v>1000</v>
      </c>
      <c r="M60" s="58"/>
    </row>
    <row r="61" spans="2:18" ht="15" hidden="1" customHeight="1" x14ac:dyDescent="0.25">
      <c r="B61" s="49" t="str">
        <f t="shared" ref="B61:D62" si="11">IF(($E55&gt;0),B55,B54)</f>
        <v>per 100 arrests</v>
      </c>
      <c r="C61" s="49">
        <f t="shared" si="11"/>
        <v>0.75</v>
      </c>
      <c r="D61" s="49">
        <f t="shared" si="11"/>
        <v>0.18</v>
      </c>
      <c r="E61" s="49">
        <f>MAX(C61:D61)</f>
        <v>0.75</v>
      </c>
      <c r="G61" s="1" t="str">
        <f>G55</f>
        <v>per 100 arrests</v>
      </c>
      <c r="L61" s="58">
        <f>IF(($E55&gt;0),L55,L54)</f>
        <v>100</v>
      </c>
      <c r="M61" s="58"/>
    </row>
    <row r="62" spans="2:18" ht="15" hidden="1" customHeight="1" x14ac:dyDescent="0.25">
      <c r="B62" s="49" t="str">
        <f t="shared" si="11"/>
        <v>per 100 referrals</v>
      </c>
      <c r="C62" s="49">
        <f t="shared" si="11"/>
        <v>1.2</v>
      </c>
      <c r="D62" s="49">
        <f t="shared" si="11"/>
        <v>0.33</v>
      </c>
      <c r="E62" s="49">
        <f>MAX(C62:D62)</f>
        <v>1.2</v>
      </c>
      <c r="G62" s="1" t="str">
        <f>G56</f>
        <v>per 100 referrals</v>
      </c>
      <c r="L62" s="58">
        <f>IF(($E56&gt;0),L56,L55)</f>
        <v>100</v>
      </c>
      <c r="M62" s="58"/>
    </row>
    <row r="63" spans="2:18" ht="15" hidden="1" customHeight="1" x14ac:dyDescent="0.25">
      <c r="B63" s="49" t="str">
        <f>IF(($E57&gt;0),B57,B55)</f>
        <v>per 100 youth petitioned</v>
      </c>
      <c r="C63" s="49">
        <f>IF(($E57&gt;0),C57,C56)</f>
        <v>1.04</v>
      </c>
      <c r="D63" s="49">
        <f>IF(($E57&gt;0),D57,D56)</f>
        <v>0.2</v>
      </c>
      <c r="E63" s="49">
        <f>MAX(C63:D63)</f>
        <v>1.04</v>
      </c>
      <c r="G63" s="1" t="str">
        <f>G57</f>
        <v>per 100 youth petitioned</v>
      </c>
      <c r="L63" s="58">
        <f>IF(($E57&gt;0),L57,L56)</f>
        <v>100</v>
      </c>
      <c r="M63" s="58"/>
    </row>
    <row r="64" spans="2:18" ht="15" hidden="1" customHeight="1" x14ac:dyDescent="0.25">
      <c r="B64" s="49" t="str">
        <f>IF(($E58&gt;0),B58,B57)</f>
        <v>per 100 youth found delinquent</v>
      </c>
      <c r="C64" s="49">
        <f>IF(($E58&gt;0),C58,C57)</f>
        <v>0.47</v>
      </c>
      <c r="D64" s="49">
        <f>IF(($E58&gt;0),D58,D57)</f>
        <v>0.09</v>
      </c>
      <c r="E64" s="56">
        <f>MAX(C64:D64)</f>
        <v>0.47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9.625</v>
      </c>
      <c r="D66" s="56">
        <f>D60</f>
        <v>0.33200000000000002</v>
      </c>
      <c r="E66" s="56">
        <f>MAX(C66:D66)</f>
        <v>9.625</v>
      </c>
      <c r="G66" s="1" t="str">
        <f>G60</f>
        <v>per 1000 youth</v>
      </c>
      <c r="L66" s="58">
        <f>L60</f>
        <v>1000</v>
      </c>
      <c r="M66" s="58">
        <f>IF((B66=G66),1,2)</f>
        <v>1</v>
      </c>
    </row>
    <row r="67" spans="2:13" ht="15" hidden="1" customHeight="1" x14ac:dyDescent="0.25">
      <c r="B67" s="49" t="str">
        <f t="shared" ref="B67:D68" si="12">IF(($E61&gt;0),B61,B60)</f>
        <v>per 100 arrests</v>
      </c>
      <c r="C67" s="49">
        <f t="shared" si="12"/>
        <v>0.75</v>
      </c>
      <c r="D67" s="49">
        <f t="shared" si="12"/>
        <v>0.18</v>
      </c>
      <c r="E67" s="49">
        <f>MAX(C67:D67)</f>
        <v>0.75</v>
      </c>
      <c r="G67" s="1" t="str">
        <f>G61</f>
        <v>per 100 arrests</v>
      </c>
      <c r="L67" s="58">
        <f>IF(($E61&gt;0),L61,L60)</f>
        <v>100</v>
      </c>
      <c r="M67" s="58">
        <f>IF((B67=G67),1,2)</f>
        <v>1</v>
      </c>
    </row>
    <row r="68" spans="2:13" ht="15" hidden="1" customHeight="1" x14ac:dyDescent="0.25">
      <c r="B68" s="49" t="str">
        <f t="shared" si="12"/>
        <v>per 100 referrals</v>
      </c>
      <c r="C68" s="49">
        <f t="shared" si="12"/>
        <v>1.2</v>
      </c>
      <c r="D68" s="49">
        <f t="shared" si="12"/>
        <v>0.33</v>
      </c>
      <c r="E68" s="49">
        <f>MAX(C68:D68)</f>
        <v>1.2</v>
      </c>
      <c r="G68" s="1" t="str">
        <f>G62</f>
        <v>per 100 referrals</v>
      </c>
      <c r="L68" s="58">
        <f>IF(($E62&gt;0),L62,L61)</f>
        <v>100</v>
      </c>
      <c r="M68" s="58">
        <f>IF((B68=G68),1,2)</f>
        <v>1</v>
      </c>
    </row>
    <row r="69" spans="2:13" ht="15" hidden="1" customHeight="1" x14ac:dyDescent="0.25">
      <c r="B69" s="49" t="str">
        <f>IF(($E63&gt;0),B63,B61)</f>
        <v>per 100 youth petitioned</v>
      </c>
      <c r="C69" s="49">
        <f>IF(($E63&gt;0),C63,C62)</f>
        <v>1.04</v>
      </c>
      <c r="D69" s="49">
        <f>IF(($E63&gt;0),D63,D62)</f>
        <v>0.2</v>
      </c>
      <c r="E69" s="49">
        <f>MAX(C69:D69)</f>
        <v>1.04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0.47</v>
      </c>
      <c r="D70" s="49">
        <f>IF(($E64&gt;0),D64,D63)</f>
        <v>0.09</v>
      </c>
      <c r="E70" s="56">
        <f>MAX(C70:D70)</f>
        <v>0.47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Allegan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9625</v>
      </c>
      <c r="D6" s="34"/>
      <c r="E6" s="33">
        <f>'Data Entry'!F6</f>
        <v>108</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75</v>
      </c>
      <c r="D7" s="34">
        <f>IF((AND(C66&gt;0,C7&gt;0)),(C7/C66),0)</f>
        <v>7.7922077922077921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108</v>
      </c>
      <c r="P7" s="42">
        <f t="shared" ref="P7:P15" si="4">C7</f>
        <v>75</v>
      </c>
      <c r="Q7" s="42">
        <f>C6-C7</f>
        <v>9550</v>
      </c>
      <c r="R7" s="42">
        <f t="shared" ref="R7:R15" si="5">SUM(N7:Q7)</f>
        <v>9733</v>
      </c>
      <c r="S7" s="30">
        <f t="shared" ref="S7:S15" si="6">R7*((((N7*Q7)-(O7*P7))^2))</f>
        <v>638582130000</v>
      </c>
      <c r="T7" s="30">
        <f t="shared" ref="T7:T15" si="7">(N7+O7)*(P7+Q7)*(N7+P7)*(O7+Q7)</f>
        <v>752961825000</v>
      </c>
      <c r="U7" s="31">
        <f t="shared" ref="U7:U15" si="8">IF((S7&gt;0),S7/T7,"- -")</f>
        <v>0.84809363343221289</v>
      </c>
    </row>
    <row r="8" spans="2:21" ht="18" customHeight="1" x14ac:dyDescent="0.25">
      <c r="B8" s="32" t="str">
        <f>'Data Entry'!A8</f>
        <v>3. Refer to Juvenile Court</v>
      </c>
      <c r="C8" s="33">
        <f>'Data Entry'!C8</f>
        <v>120</v>
      </c>
      <c r="D8" s="34">
        <f>IF((AND(C67&gt;0,C8&gt;0)),(C8/C67),0)</f>
        <v>160</v>
      </c>
      <c r="E8" s="33">
        <f>'Data Entry'!F8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120</v>
      </c>
      <c r="Q8" s="42">
        <f>(C$67*L67)-C8</f>
        <v>-45</v>
      </c>
      <c r="R8" s="42">
        <f t="shared" si="5"/>
        <v>75.05</v>
      </c>
      <c r="S8" s="30">
        <f t="shared" si="6"/>
        <v>357313.05</v>
      </c>
      <c r="T8" s="30">
        <f t="shared" si="7"/>
        <v>-20849.812500000022</v>
      </c>
      <c r="U8" s="31">
        <f t="shared" si="8"/>
        <v>-17.137470660707361</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120</v>
      </c>
      <c r="R9" s="42">
        <f t="shared" si="5"/>
        <v>121</v>
      </c>
      <c r="S9" s="30">
        <f t="shared" si="6"/>
        <v>0</v>
      </c>
      <c r="T9" s="30">
        <f t="shared" si="7"/>
        <v>0</v>
      </c>
      <c r="U9" s="31" t="str">
        <f t="shared" si="8"/>
        <v>- -</v>
      </c>
    </row>
    <row r="10" spans="2:21" ht="18" customHeight="1" x14ac:dyDescent="0.25">
      <c r="B10" s="32" t="str">
        <f>'Data Entry'!A10</f>
        <v>5. Cases Involving Secure Detention</v>
      </c>
      <c r="C10" s="33">
        <f>'Data Entry'!C10</f>
        <v>15</v>
      </c>
      <c r="D10" s="34">
        <f>IF(((AND(C68&gt;0,C10&gt;0))),(C10/(C68)),0)</f>
        <v>12.5</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15</v>
      </c>
      <c r="Q10" s="42">
        <f>(C$68*L68)-C10</f>
        <v>105</v>
      </c>
      <c r="R10" s="42">
        <f t="shared" si="5"/>
        <v>121</v>
      </c>
      <c r="S10" s="30">
        <f t="shared" si="6"/>
        <v>27225</v>
      </c>
      <c r="T10" s="30">
        <f t="shared" si="7"/>
        <v>190800</v>
      </c>
      <c r="U10" s="31">
        <f t="shared" si="8"/>
        <v>0.14268867924528303</v>
      </c>
    </row>
    <row r="11" spans="2:21" ht="18" customHeight="1" x14ac:dyDescent="0.25">
      <c r="B11" s="32" t="str">
        <f>'Data Entry'!A11</f>
        <v>6. Cases Petitioned (Charge Filed)</v>
      </c>
      <c r="C11" s="33">
        <f>'Data Entry'!C11</f>
        <v>104</v>
      </c>
      <c r="D11" s="34">
        <f>IF(((AND(C68&gt;0,C11&gt;0))),(C11/(C68)),0)</f>
        <v>86.666666666666671</v>
      </c>
      <c r="E11" s="33">
        <f>'Data Entry'!F11</f>
        <v>0</v>
      </c>
      <c r="F11" s="34">
        <f>IF(((AND($E$11&gt;0,$D$68&gt;0))),($E$11/($D$68)),0)</f>
        <v>0</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0</v>
      </c>
      <c r="O11" s="42">
        <f>(D$68*L68)-E11</f>
        <v>1</v>
      </c>
      <c r="P11" s="42">
        <f t="shared" si="4"/>
        <v>104</v>
      </c>
      <c r="Q11" s="42">
        <f>(C$68*L68)-C11</f>
        <v>16</v>
      </c>
      <c r="R11" s="42">
        <f t="shared" si="5"/>
        <v>121</v>
      </c>
      <c r="S11" s="30">
        <f t="shared" si="6"/>
        <v>1308736</v>
      </c>
      <c r="T11" s="30">
        <f t="shared" si="7"/>
        <v>212160</v>
      </c>
      <c r="U11" s="31">
        <f t="shared" si="8"/>
        <v>6.1686274509803924</v>
      </c>
    </row>
    <row r="12" spans="2:21" ht="18" customHeight="1" x14ac:dyDescent="0.25">
      <c r="B12" s="32" t="str">
        <f>'Data Entry'!A12</f>
        <v>7. Cases Resulting in Delinquent Findings</v>
      </c>
      <c r="C12" s="33">
        <f>'Data Entry'!C12</f>
        <v>47</v>
      </c>
      <c r="D12" s="34">
        <f>IF(((AND(C69&gt;0,C12&gt;0))),(C12/(C69)),0)</f>
        <v>45.192307692307693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47</v>
      </c>
      <c r="Q12" s="42">
        <f>(C69*L69)-C12</f>
        <v>57</v>
      </c>
      <c r="R12" s="42">
        <f t="shared" si="5"/>
        <v>104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47</v>
      </c>
      <c r="R13" s="42">
        <f t="shared" si="5"/>
        <v>47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45</v>
      </c>
      <c r="D14" s="34">
        <f>IF(((AND(C70&gt;0,C14&gt;0))), ((C14/(C70))),0)</f>
        <v>95.744680851063833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45</v>
      </c>
      <c r="Q14" s="42">
        <f>(C70*L70)-C14</f>
        <v>2</v>
      </c>
      <c r="R14" s="42">
        <f t="shared" si="5"/>
        <v>47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104</v>
      </c>
      <c r="R15" s="42">
        <f t="shared" si="5"/>
        <v>104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9.625</v>
      </c>
      <c r="D42" s="56">
        <f>E6/1000</f>
        <v>0.108</v>
      </c>
      <c r="E42" s="56">
        <f>MAX(C42:D42)</f>
        <v>9.625</v>
      </c>
      <c r="G42" s="1" t="str">
        <f>B42</f>
        <v>per 1000 youth</v>
      </c>
      <c r="L42" s="57">
        <v>1000</v>
      </c>
      <c r="M42" s="57"/>
      <c r="R42" s="49"/>
    </row>
    <row r="43" spans="2:18" ht="15" hidden="1" customHeight="1" x14ac:dyDescent="0.25">
      <c r="B43" s="49" t="s">
        <v>87</v>
      </c>
      <c r="C43" s="56">
        <f>C7/100</f>
        <v>0.75</v>
      </c>
      <c r="D43" s="56">
        <f>E7/100</f>
        <v>0</v>
      </c>
      <c r="E43" s="56">
        <f>MAX(C43:D43,0)</f>
        <v>0.75</v>
      </c>
      <c r="G43" s="1" t="str">
        <f>B43</f>
        <v>per 100 arrests</v>
      </c>
      <c r="L43" s="57">
        <v>100</v>
      </c>
      <c r="M43" s="57"/>
      <c r="R43" s="49"/>
    </row>
    <row r="44" spans="2:18" ht="15" hidden="1" customHeight="1" x14ac:dyDescent="0.25">
      <c r="B44" s="49" t="s">
        <v>88</v>
      </c>
      <c r="C44" s="56">
        <f>C8/100</f>
        <v>1.2</v>
      </c>
      <c r="D44" s="56">
        <f>E8/100</f>
        <v>0.01</v>
      </c>
      <c r="E44" s="56">
        <f>MAX(C44:D44,0)</f>
        <v>1.2</v>
      </c>
      <c r="G44" s="1" t="str">
        <f>B44</f>
        <v>per 100 referrals</v>
      </c>
      <c r="L44" s="57">
        <v>100</v>
      </c>
      <c r="M44" s="57"/>
      <c r="R44" s="49"/>
    </row>
    <row r="45" spans="2:18" ht="15" hidden="1" customHeight="1" x14ac:dyDescent="0.25">
      <c r="B45" s="49" t="s">
        <v>89</v>
      </c>
      <c r="C45" s="49">
        <f>C11/100</f>
        <v>1.04</v>
      </c>
      <c r="D45" s="49">
        <f>E11/100</f>
        <v>0</v>
      </c>
      <c r="E45" s="56">
        <f>MAX(C45:D45,0)</f>
        <v>1.04</v>
      </c>
      <c r="G45" s="1" t="str">
        <f>B45</f>
        <v>per 100 youth petitioned</v>
      </c>
      <c r="L45" s="57">
        <v>100</v>
      </c>
      <c r="M45" s="57"/>
      <c r="R45" s="49"/>
    </row>
    <row r="46" spans="2:18" ht="15" hidden="1" customHeight="1" x14ac:dyDescent="0.25">
      <c r="B46" s="49" t="s">
        <v>90</v>
      </c>
      <c r="C46" s="49">
        <f>C12/100</f>
        <v>0.47</v>
      </c>
      <c r="D46" s="49">
        <f>E12/100</f>
        <v>0</v>
      </c>
      <c r="E46" s="56">
        <f>MAX(C46:D46)</f>
        <v>0.47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9.625</v>
      </c>
      <c r="D48" s="56">
        <f>D42</f>
        <v>0.108</v>
      </c>
      <c r="E48" s="56">
        <f>MAX(C48:D48)</f>
        <v>9.625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1.2</v>
      </c>
      <c r="D50" s="49">
        <f t="shared" si="9"/>
        <v>0.01</v>
      </c>
      <c r="E50" s="49">
        <f>MAX(C50:D50)</f>
        <v>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1.04</v>
      </c>
      <c r="D51" s="49">
        <f>IF(($E45&gt;0),D45,D44)</f>
        <v>0</v>
      </c>
      <c r="E51" s="49">
        <f>MAX(C51:D51)</f>
        <v>1.04</v>
      </c>
      <c r="G51" s="1" t="str">
        <f>G45</f>
        <v>per 100 youth petitioned</v>
      </c>
      <c r="L51" s="58">
        <f>IF(($E45&gt;0),L45,L44)</f>
        <v>100</v>
      </c>
      <c r="M51" s="58"/>
    </row>
    <row r="52" spans="2:18" ht="15" hidden="1" customHeight="1" x14ac:dyDescent="0.25">
      <c r="B52" s="49" t="str">
        <f>IF(($E46&gt;0),B46,B45)</f>
        <v>per 100 youth found delinquent</v>
      </c>
      <c r="C52" s="49">
        <f>IF(($E46&gt;0),C46,C45)</f>
        <v>0.47</v>
      </c>
      <c r="D52" s="49">
        <f>IF(($E46&gt;0),D46,D45)</f>
        <v>0</v>
      </c>
      <c r="E52" s="56">
        <f>MAX(C52:D52)</f>
        <v>0.47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9.625</v>
      </c>
      <c r="D54" s="56">
        <f>D48</f>
        <v>0.108</v>
      </c>
      <c r="E54" s="56">
        <f>MAX(C54:D54)</f>
        <v>9.625</v>
      </c>
      <c r="G54" s="1" t="str">
        <f>G48</f>
        <v>per 1000 youth</v>
      </c>
      <c r="L54" s="58">
        <f>L48</f>
        <v>1000</v>
      </c>
      <c r="M54" s="58"/>
    </row>
    <row r="55" spans="2:18" ht="15" hidden="1" customHeight="1" x14ac:dyDescent="0.25">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x14ac:dyDescent="0.25">
      <c r="B56" s="49" t="str">
        <f t="shared" si="10"/>
        <v>per 100 referrals</v>
      </c>
      <c r="C56" s="49">
        <f t="shared" si="10"/>
        <v>1.2</v>
      </c>
      <c r="D56" s="49">
        <f t="shared" si="10"/>
        <v>0.01</v>
      </c>
      <c r="E56" s="49">
        <f>MAX(C56:D56)</f>
        <v>1.2</v>
      </c>
      <c r="G56" s="1" t="str">
        <f>G50</f>
        <v>per 100 referrals</v>
      </c>
      <c r="L56" s="58">
        <f>IF(($E50&gt;0),L50,L49)</f>
        <v>100</v>
      </c>
      <c r="M56" s="58"/>
    </row>
    <row r="57" spans="2:18" ht="15" hidden="1" customHeight="1" x14ac:dyDescent="0.25">
      <c r="B57" s="49" t="str">
        <f>IF(($E51&gt;0),B51,B49)</f>
        <v>per 100 youth petitioned</v>
      </c>
      <c r="C57" s="49">
        <f>IF(($E51&gt;0),C51,C50)</f>
        <v>1.04</v>
      </c>
      <c r="D57" s="49">
        <f>IF(($E51&gt;0),D51,D50)</f>
        <v>0</v>
      </c>
      <c r="E57" s="49">
        <f>MAX(C57:D57)</f>
        <v>1.04</v>
      </c>
      <c r="G57" s="1" t="str">
        <f>G51</f>
        <v>per 100 youth petitioned</v>
      </c>
      <c r="L57" s="58">
        <f>IF(($E51&gt;0),L51,L50)</f>
        <v>100</v>
      </c>
      <c r="M57" s="58"/>
    </row>
    <row r="58" spans="2:18" ht="15" hidden="1" customHeight="1" x14ac:dyDescent="0.25">
      <c r="B58" s="49" t="str">
        <f>IF(($E52&gt;0),B52,B51)</f>
        <v>per 100 youth found delinquent</v>
      </c>
      <c r="C58" s="49">
        <f>IF(($E52&gt;0),C52,C51)</f>
        <v>0.47</v>
      </c>
      <c r="D58" s="49">
        <f>IF(($E52&gt;0),D52,D51)</f>
        <v>0</v>
      </c>
      <c r="E58" s="56">
        <f>MAX(C58:D58)</f>
        <v>0.47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9.625</v>
      </c>
      <c r="D60" s="56">
        <f>D54</f>
        <v>0.108</v>
      </c>
      <c r="E60" s="56">
        <f>MAX(C60:D60)</f>
        <v>9.625</v>
      </c>
      <c r="G60" s="1" t="str">
        <f>G54</f>
        <v>per 1000 youth</v>
      </c>
      <c r="L60" s="58">
        <f>L54</f>
        <v>1000</v>
      </c>
      <c r="M60" s="58"/>
    </row>
    <row r="61" spans="2:18" ht="15" hidden="1" customHeight="1" x14ac:dyDescent="0.25">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x14ac:dyDescent="0.25">
      <c r="B62" s="49" t="str">
        <f t="shared" si="11"/>
        <v>per 100 referrals</v>
      </c>
      <c r="C62" s="49">
        <f t="shared" si="11"/>
        <v>1.2</v>
      </c>
      <c r="D62" s="49">
        <f t="shared" si="11"/>
        <v>0.01</v>
      </c>
      <c r="E62" s="49">
        <f>MAX(C62:D62)</f>
        <v>1.2</v>
      </c>
      <c r="G62" s="1" t="str">
        <f>G56</f>
        <v>per 100 referrals</v>
      </c>
      <c r="L62" s="58">
        <f>IF(($E56&gt;0),L56,L55)</f>
        <v>100</v>
      </c>
      <c r="M62" s="58"/>
    </row>
    <row r="63" spans="2:18" ht="15" hidden="1" customHeight="1" x14ac:dyDescent="0.25">
      <c r="B63" s="49" t="str">
        <f>IF(($E57&gt;0),B57,B55)</f>
        <v>per 100 youth petitioned</v>
      </c>
      <c r="C63" s="49">
        <f>IF(($E57&gt;0),C57,C56)</f>
        <v>1.04</v>
      </c>
      <c r="D63" s="49">
        <f>IF(($E57&gt;0),D57,D56)</f>
        <v>0</v>
      </c>
      <c r="E63" s="49">
        <f>MAX(C63:D63)</f>
        <v>1.04</v>
      </c>
      <c r="G63" s="1" t="str">
        <f>G57</f>
        <v>per 100 youth petitioned</v>
      </c>
      <c r="L63" s="58">
        <f>IF(($E57&gt;0),L57,L56)</f>
        <v>100</v>
      </c>
      <c r="M63" s="58"/>
    </row>
    <row r="64" spans="2:18" ht="15" hidden="1" customHeight="1" x14ac:dyDescent="0.25">
      <c r="B64" s="49" t="str">
        <f>IF(($E58&gt;0),B58,B57)</f>
        <v>per 100 youth found delinquent</v>
      </c>
      <c r="C64" s="49">
        <f>IF(($E58&gt;0),C58,C57)</f>
        <v>0.47</v>
      </c>
      <c r="D64" s="49">
        <f>IF(($E58&gt;0),D58,D57)</f>
        <v>0</v>
      </c>
      <c r="E64" s="56">
        <f>MAX(C64:D64)</f>
        <v>0.47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9.625</v>
      </c>
      <c r="D66" s="56">
        <f>D60</f>
        <v>0.108</v>
      </c>
      <c r="E66" s="56">
        <f>MAX(C66:D66)</f>
        <v>9.625</v>
      </c>
      <c r="G66" s="1" t="str">
        <f>G60</f>
        <v>per 1000 youth</v>
      </c>
      <c r="L66" s="58">
        <f>L60</f>
        <v>1000</v>
      </c>
      <c r="M66" s="58">
        <f>IF((B66=G66),1,2)</f>
        <v>1</v>
      </c>
    </row>
    <row r="67" spans="2:13" ht="15" hidden="1" customHeight="1" x14ac:dyDescent="0.25">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x14ac:dyDescent="0.25">
      <c r="B68" s="49" t="str">
        <f t="shared" si="12"/>
        <v>per 100 referrals</v>
      </c>
      <c r="C68" s="49">
        <f t="shared" si="12"/>
        <v>1.2</v>
      </c>
      <c r="D68" s="49">
        <f t="shared" si="12"/>
        <v>0.01</v>
      </c>
      <c r="E68" s="49">
        <f>MAX(C68:D68)</f>
        <v>1.2</v>
      </c>
      <c r="G68" s="1" t="str">
        <f>G62</f>
        <v>per 100 referrals</v>
      </c>
      <c r="L68" s="58">
        <f>IF(($E62&gt;0),L62,L61)</f>
        <v>100</v>
      </c>
      <c r="M68" s="58">
        <f>IF((B68=G68),1,2)</f>
        <v>1</v>
      </c>
    </row>
    <row r="69" spans="2:13" ht="15" hidden="1" customHeight="1" x14ac:dyDescent="0.25">
      <c r="B69" s="49" t="str">
        <f>IF(($E63&gt;0),B63,B61)</f>
        <v>per 100 youth petitioned</v>
      </c>
      <c r="C69" s="49">
        <f>IF(($E63&gt;0),C63,C62)</f>
        <v>1.04</v>
      </c>
      <c r="D69" s="49">
        <f>IF(($E63&gt;0),D63,D62)</f>
        <v>0</v>
      </c>
      <c r="E69" s="49">
        <f>MAX(C69:D69)</f>
        <v>1.04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0.47</v>
      </c>
      <c r="D70" s="49">
        <f>IF(($E64&gt;0),D64,D63)</f>
        <v>0</v>
      </c>
      <c r="E70" s="56">
        <f>MAX(C70:D70)</f>
        <v>0.47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Allegan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9625</v>
      </c>
      <c r="D6" s="34"/>
      <c r="E6" s="33">
        <f>'Data Entry'!E6</f>
        <v>1452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75</v>
      </c>
      <c r="D7" s="34">
        <f>IF((AND(C66&gt;0,C7&gt;0)),(C7/C66),0)</f>
        <v>7.7922077922077921</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1452</v>
      </c>
      <c r="P7" s="42">
        <f t="shared" ref="P7:P15" si="4">C7</f>
        <v>75</v>
      </c>
      <c r="Q7" s="42">
        <f>C6-C7</f>
        <v>9550</v>
      </c>
      <c r="R7" s="42">
        <f t="shared" ref="R7:R15" si="5">SUM(N7:Q7)</f>
        <v>11077</v>
      </c>
      <c r="S7" s="30">
        <f t="shared" ref="S7:S15" si="6">R7*((((N7*Q7)-(O7*P7))^2))</f>
        <v>131364469170000</v>
      </c>
      <c r="T7" s="30">
        <f t="shared" ref="T7:T15" si="7">(N7+O7)*(P7+Q7)*(N7+P7)*(O7+Q7)</f>
        <v>11531883825000</v>
      </c>
      <c r="U7" s="31">
        <f t="shared" ref="U7:U15" si="8">IF((S7&gt;0),S7/T7,"- -")</f>
        <v>11.391414548004258</v>
      </c>
    </row>
    <row r="8" spans="2:21" ht="18" customHeight="1" x14ac:dyDescent="0.25">
      <c r="B8" s="32" t="str">
        <f>'Data Entry'!A8</f>
        <v>3. Refer to Juvenile Court</v>
      </c>
      <c r="C8" s="33">
        <f>'Data Entry'!C8</f>
        <v>120</v>
      </c>
      <c r="D8" s="34">
        <f>IF((AND(C67&gt;0,C8&gt;0)),(C8/C67),0)</f>
        <v>160</v>
      </c>
      <c r="E8" s="33">
        <f>'Data Entry'!E8</f>
        <v>9</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9</v>
      </c>
      <c r="O8" s="42">
        <f>((D67*L67)-E8)+0.05</f>
        <v>-8.9499999999999993</v>
      </c>
      <c r="P8" s="42">
        <f t="shared" si="4"/>
        <v>120</v>
      </c>
      <c r="Q8" s="42">
        <f>(C$67*L67)-C8</f>
        <v>-45</v>
      </c>
      <c r="R8" s="42">
        <f t="shared" si="5"/>
        <v>75.05</v>
      </c>
      <c r="S8" s="30">
        <f t="shared" si="6"/>
        <v>33589453.049999997</v>
      </c>
      <c r="T8" s="30">
        <f t="shared" si="7"/>
        <v>-26098.312500000371</v>
      </c>
      <c r="U8" s="31">
        <f t="shared" si="8"/>
        <v>-1287.0354376360356</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9</v>
      </c>
      <c r="P9" s="42">
        <f t="shared" si="4"/>
        <v>0</v>
      </c>
      <c r="Q9" s="42">
        <f>(C$68*L68)-C9</f>
        <v>120</v>
      </c>
      <c r="R9" s="42">
        <f t="shared" si="5"/>
        <v>129</v>
      </c>
      <c r="S9" s="30">
        <f t="shared" si="6"/>
        <v>0</v>
      </c>
      <c r="T9" s="30">
        <f t="shared" si="7"/>
        <v>0</v>
      </c>
      <c r="U9" s="31" t="str">
        <f t="shared" si="8"/>
        <v>- -</v>
      </c>
    </row>
    <row r="10" spans="2:21" ht="18" customHeight="1" x14ac:dyDescent="0.25">
      <c r="B10" s="32" t="str">
        <f>'Data Entry'!A10</f>
        <v>5. Cases Involving Secure Detention</v>
      </c>
      <c r="C10" s="33">
        <f>'Data Entry'!C10</f>
        <v>15</v>
      </c>
      <c r="D10" s="34">
        <f>IF(((AND(C68&gt;0,C10&gt;0))),(C10/(C68)),0)</f>
        <v>12.5</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9</v>
      </c>
      <c r="P10" s="42">
        <f t="shared" si="4"/>
        <v>15</v>
      </c>
      <c r="Q10" s="42">
        <f>(C$68*L68)-C10</f>
        <v>105</v>
      </c>
      <c r="R10" s="42">
        <f t="shared" si="5"/>
        <v>129</v>
      </c>
      <c r="S10" s="30">
        <f t="shared" si="6"/>
        <v>2351025</v>
      </c>
      <c r="T10" s="30">
        <f t="shared" si="7"/>
        <v>1846800</v>
      </c>
      <c r="U10" s="31">
        <f t="shared" si="8"/>
        <v>1.2730263157894737</v>
      </c>
    </row>
    <row r="11" spans="2:21" ht="18" customHeight="1" x14ac:dyDescent="0.25">
      <c r="B11" s="32" t="str">
        <f>'Data Entry'!A11</f>
        <v>6. Cases Petitioned (Charge Filed)</v>
      </c>
      <c r="C11" s="33">
        <f>'Data Entry'!C11</f>
        <v>104</v>
      </c>
      <c r="D11" s="34">
        <f>IF(((AND(C68&gt;0,C11&gt;0))),(C11/(C68)),0)</f>
        <v>86.666666666666671</v>
      </c>
      <c r="E11" s="33">
        <f>'Data Entry'!E11</f>
        <v>7</v>
      </c>
      <c r="F11" s="34">
        <f>IF(((AND($E$11&gt;0,$D$68&gt;0))),($E$11/($D$68)),0)</f>
        <v>77.777777777777786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7</v>
      </c>
      <c r="O11" s="42">
        <f>(D$68*L68)-E11</f>
        <v>2</v>
      </c>
      <c r="P11" s="42">
        <f t="shared" si="4"/>
        <v>104</v>
      </c>
      <c r="Q11" s="42">
        <f>(C$68*L68)-C11</f>
        <v>16</v>
      </c>
      <c r="R11" s="42">
        <f t="shared" si="5"/>
        <v>129</v>
      </c>
      <c r="S11" s="30">
        <f t="shared" si="6"/>
        <v>1188864</v>
      </c>
      <c r="T11" s="30">
        <f t="shared" si="7"/>
        <v>2157840</v>
      </c>
      <c r="U11" s="31">
        <f t="shared" si="8"/>
        <v>0.55095095095095092</v>
      </c>
    </row>
    <row r="12" spans="2:21" ht="18" customHeight="1" x14ac:dyDescent="0.25">
      <c r="B12" s="32" t="str">
        <f>'Data Entry'!A12</f>
        <v>7. Cases Resulting in Delinquent Findings</v>
      </c>
      <c r="C12" s="33">
        <f>'Data Entry'!C12</f>
        <v>47</v>
      </c>
      <c r="D12" s="34">
        <f>IF(((AND(C69&gt;0,C12&gt;0))),(C12/(C69)),0)</f>
        <v>45.192307692307693</v>
      </c>
      <c r="E12" s="33">
        <f>'Data Entry'!E12</f>
        <v>5</v>
      </c>
      <c r="F12" s="34">
        <f>IF(((AND($D$69&gt;0,$E$12&gt;0))),(E12/(D69)),0)</f>
        <v>71.428571428571416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2.0000000000000009</v>
      </c>
      <c r="P12" s="42">
        <f t="shared" si="4"/>
        <v>47</v>
      </c>
      <c r="Q12" s="42">
        <f>(C69*L69)-C12</f>
        <v>57</v>
      </c>
      <c r="R12" s="42">
        <f t="shared" si="5"/>
        <v>111</v>
      </c>
      <c r="S12" s="30">
        <f t="shared" si="6"/>
        <v>4049390.9999999977</v>
      </c>
      <c r="T12" s="30">
        <f t="shared" si="7"/>
        <v>2233504.0000000005</v>
      </c>
      <c r="U12" s="31">
        <f t="shared" si="8"/>
        <v>1.8130216019313137</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47</v>
      </c>
      <c r="R13" s="42">
        <f t="shared" si="5"/>
        <v>52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45</v>
      </c>
      <c r="D14" s="34">
        <f>IF(((AND(C70&gt;0,C14&gt;0))), ((C14/(C70))),0)</f>
        <v>95.744680851063833</v>
      </c>
      <c r="E14" s="33">
        <f>'Data Entry'!E14</f>
        <v>0</v>
      </c>
      <c r="F14" s="34">
        <f>IF(((AND($D$70&gt;0,$E$14&gt;0))), (($E$14/($D$70))),0)</f>
        <v>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0</v>
      </c>
      <c r="O14" s="42">
        <f>(D70*L70)-E14</f>
        <v>5</v>
      </c>
      <c r="P14" s="42">
        <f t="shared" si="4"/>
        <v>45</v>
      </c>
      <c r="Q14" s="42">
        <f>(C70*L70)-C14</f>
        <v>2</v>
      </c>
      <c r="R14" s="42">
        <f t="shared" si="5"/>
        <v>52</v>
      </c>
      <c r="S14" s="30">
        <f t="shared" si="6"/>
        <v>2632500</v>
      </c>
      <c r="T14" s="30">
        <f t="shared" si="7"/>
        <v>74025</v>
      </c>
      <c r="U14" s="31">
        <f t="shared" si="8"/>
        <v>35.562310030395139</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104</v>
      </c>
      <c r="R15" s="42">
        <f t="shared" si="5"/>
        <v>111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9.625</v>
      </c>
      <c r="D42" s="56">
        <f>E6/1000</f>
        <v>1.452</v>
      </c>
      <c r="E42" s="56">
        <f>MAX(C42:D42)</f>
        <v>9.625</v>
      </c>
      <c r="G42" s="1" t="str">
        <f>B42</f>
        <v>per 1000 youth</v>
      </c>
      <c r="L42" s="57">
        <v>1000</v>
      </c>
      <c r="M42" s="57"/>
      <c r="R42" s="49"/>
    </row>
    <row r="43" spans="2:18" ht="15" hidden="1" customHeight="1" x14ac:dyDescent="0.25">
      <c r="B43" s="49" t="s">
        <v>87</v>
      </c>
      <c r="C43" s="56">
        <f>C7/100</f>
        <v>0.75</v>
      </c>
      <c r="D43" s="56">
        <f>E7/100</f>
        <v>0</v>
      </c>
      <c r="E43" s="56">
        <f>MAX(C43:D43,0)</f>
        <v>0.75</v>
      </c>
      <c r="G43" s="1" t="str">
        <f>B43</f>
        <v>per 100 arrests</v>
      </c>
      <c r="L43" s="57">
        <v>100</v>
      </c>
      <c r="M43" s="57"/>
      <c r="R43" s="49"/>
    </row>
    <row r="44" spans="2:18" ht="15" hidden="1" customHeight="1" x14ac:dyDescent="0.25">
      <c r="B44" s="49" t="s">
        <v>88</v>
      </c>
      <c r="C44" s="56">
        <f>C8/100</f>
        <v>1.2</v>
      </c>
      <c r="D44" s="56">
        <f>E8/100</f>
        <v>0.09</v>
      </c>
      <c r="E44" s="56">
        <f>MAX(C44:D44,0)</f>
        <v>1.2</v>
      </c>
      <c r="G44" s="1" t="str">
        <f>B44</f>
        <v>per 100 referrals</v>
      </c>
      <c r="L44" s="57">
        <v>100</v>
      </c>
      <c r="M44" s="57"/>
      <c r="R44" s="49"/>
    </row>
    <row r="45" spans="2:18" ht="15" hidden="1" customHeight="1" x14ac:dyDescent="0.25">
      <c r="B45" s="49" t="s">
        <v>89</v>
      </c>
      <c r="C45" s="49">
        <f>C11/100</f>
        <v>1.04</v>
      </c>
      <c r="D45" s="49">
        <f>E11/100</f>
        <v>7.0000000000000007E-2</v>
      </c>
      <c r="E45" s="56">
        <f>MAX(C45:D45,0)</f>
        <v>1.04</v>
      </c>
      <c r="G45" s="1" t="str">
        <f>B45</f>
        <v>per 100 youth petitioned</v>
      </c>
      <c r="L45" s="57">
        <v>100</v>
      </c>
      <c r="M45" s="57"/>
      <c r="R45" s="49"/>
    </row>
    <row r="46" spans="2:18" ht="15" hidden="1" customHeight="1" x14ac:dyDescent="0.25">
      <c r="B46" s="49" t="s">
        <v>90</v>
      </c>
      <c r="C46" s="49">
        <f>C12/100</f>
        <v>0.47</v>
      </c>
      <c r="D46" s="49">
        <f>E12/100</f>
        <v>0.05</v>
      </c>
      <c r="E46" s="56">
        <f>MAX(C46:D46)</f>
        <v>0.47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9.625</v>
      </c>
      <c r="D48" s="56">
        <f>D42</f>
        <v>1.452</v>
      </c>
      <c r="E48" s="56">
        <f>MAX(C48:D48)</f>
        <v>9.625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1.2</v>
      </c>
      <c r="D50" s="49">
        <f t="shared" si="9"/>
        <v>0.09</v>
      </c>
      <c r="E50" s="49">
        <f>MAX(C50:D50)</f>
        <v>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1.04</v>
      </c>
      <c r="D51" s="49">
        <f>IF(($E45&gt;0),D45,D44)</f>
        <v>7.0000000000000007E-2</v>
      </c>
      <c r="E51" s="49">
        <f>MAX(C51:D51)</f>
        <v>1.04</v>
      </c>
      <c r="G51" s="1" t="str">
        <f>G45</f>
        <v>per 100 youth petitioned</v>
      </c>
      <c r="L51" s="58">
        <f>IF(($E45&gt;0),L45,L44)</f>
        <v>100</v>
      </c>
      <c r="M51" s="58"/>
    </row>
    <row r="52" spans="2:18" ht="15" hidden="1" customHeight="1" x14ac:dyDescent="0.25">
      <c r="B52" s="49" t="str">
        <f>IF(($E46&gt;0),B46,B45)</f>
        <v>per 100 youth found delinquent</v>
      </c>
      <c r="C52" s="49">
        <f>IF(($E46&gt;0),C46,C45)</f>
        <v>0.47</v>
      </c>
      <c r="D52" s="49">
        <f>IF(($E46&gt;0),D46,D45)</f>
        <v>0.05</v>
      </c>
      <c r="E52" s="56">
        <f>MAX(C52:D52)</f>
        <v>0.47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9.625</v>
      </c>
      <c r="D54" s="56">
        <f>D48</f>
        <v>1.452</v>
      </c>
      <c r="E54" s="56">
        <f>MAX(C54:D54)</f>
        <v>9.625</v>
      </c>
      <c r="G54" s="1" t="str">
        <f>G48</f>
        <v>per 1000 youth</v>
      </c>
      <c r="L54" s="58">
        <f>L48</f>
        <v>1000</v>
      </c>
      <c r="M54" s="58"/>
    </row>
    <row r="55" spans="2:18" ht="15" hidden="1" customHeight="1" x14ac:dyDescent="0.25">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x14ac:dyDescent="0.25">
      <c r="B56" s="49" t="str">
        <f t="shared" si="10"/>
        <v>per 100 referrals</v>
      </c>
      <c r="C56" s="49">
        <f t="shared" si="10"/>
        <v>1.2</v>
      </c>
      <c r="D56" s="49">
        <f t="shared" si="10"/>
        <v>0.09</v>
      </c>
      <c r="E56" s="49">
        <f>MAX(C56:D56)</f>
        <v>1.2</v>
      </c>
      <c r="G56" s="1" t="str">
        <f>G50</f>
        <v>per 100 referrals</v>
      </c>
      <c r="L56" s="58">
        <f>IF(($E50&gt;0),L50,L49)</f>
        <v>100</v>
      </c>
      <c r="M56" s="58"/>
    </row>
    <row r="57" spans="2:18" ht="15" hidden="1" customHeight="1" x14ac:dyDescent="0.25">
      <c r="B57" s="49" t="str">
        <f>IF(($E51&gt;0),B51,B49)</f>
        <v>per 100 youth petitioned</v>
      </c>
      <c r="C57" s="49">
        <f>IF(($E51&gt;0),C51,C50)</f>
        <v>1.04</v>
      </c>
      <c r="D57" s="49">
        <f>IF(($E51&gt;0),D51,D50)</f>
        <v>7.0000000000000007E-2</v>
      </c>
      <c r="E57" s="49">
        <f>MAX(C57:D57)</f>
        <v>1.04</v>
      </c>
      <c r="G57" s="1" t="str">
        <f>G51</f>
        <v>per 100 youth petitioned</v>
      </c>
      <c r="L57" s="58">
        <f>IF(($E51&gt;0),L51,L50)</f>
        <v>100</v>
      </c>
      <c r="M57" s="58"/>
    </row>
    <row r="58" spans="2:18" ht="15" hidden="1" customHeight="1" x14ac:dyDescent="0.25">
      <c r="B58" s="49" t="str">
        <f>IF(($E52&gt;0),B52,B51)</f>
        <v>per 100 youth found delinquent</v>
      </c>
      <c r="C58" s="49">
        <f>IF(($E52&gt;0),C52,C51)</f>
        <v>0.47</v>
      </c>
      <c r="D58" s="49">
        <f>IF(($E52&gt;0),D52,D51)</f>
        <v>0.05</v>
      </c>
      <c r="E58" s="56">
        <f>MAX(C58:D58)</f>
        <v>0.47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9.625</v>
      </c>
      <c r="D60" s="56">
        <f>D54</f>
        <v>1.452</v>
      </c>
      <c r="E60" s="56">
        <f>MAX(C60:D60)</f>
        <v>9.625</v>
      </c>
      <c r="G60" s="1" t="str">
        <f>G54</f>
        <v>per 1000 youth</v>
      </c>
      <c r="L60" s="58">
        <f>L54</f>
        <v>1000</v>
      </c>
      <c r="M60" s="58"/>
    </row>
    <row r="61" spans="2:18" ht="15" hidden="1" customHeight="1" x14ac:dyDescent="0.25">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x14ac:dyDescent="0.25">
      <c r="B62" s="49" t="str">
        <f t="shared" si="11"/>
        <v>per 100 referrals</v>
      </c>
      <c r="C62" s="49">
        <f t="shared" si="11"/>
        <v>1.2</v>
      </c>
      <c r="D62" s="49">
        <f t="shared" si="11"/>
        <v>0.09</v>
      </c>
      <c r="E62" s="49">
        <f>MAX(C62:D62)</f>
        <v>1.2</v>
      </c>
      <c r="G62" s="1" t="str">
        <f>G56</f>
        <v>per 100 referrals</v>
      </c>
      <c r="L62" s="58">
        <f>IF(($E56&gt;0),L56,L55)</f>
        <v>100</v>
      </c>
      <c r="M62" s="58"/>
    </row>
    <row r="63" spans="2:18" ht="15" hidden="1" customHeight="1" x14ac:dyDescent="0.25">
      <c r="B63" s="49" t="str">
        <f>IF(($E57&gt;0),B57,B55)</f>
        <v>per 100 youth petitioned</v>
      </c>
      <c r="C63" s="49">
        <f>IF(($E57&gt;0),C57,C56)</f>
        <v>1.04</v>
      </c>
      <c r="D63" s="49">
        <f>IF(($E57&gt;0),D57,D56)</f>
        <v>7.0000000000000007E-2</v>
      </c>
      <c r="E63" s="49">
        <f>MAX(C63:D63)</f>
        <v>1.04</v>
      </c>
      <c r="G63" s="1" t="str">
        <f>G57</f>
        <v>per 100 youth petitioned</v>
      </c>
      <c r="L63" s="58">
        <f>IF(($E57&gt;0),L57,L56)</f>
        <v>100</v>
      </c>
      <c r="M63" s="58"/>
    </row>
    <row r="64" spans="2:18" ht="15" hidden="1" customHeight="1" x14ac:dyDescent="0.25">
      <c r="B64" s="49" t="str">
        <f>IF(($E58&gt;0),B58,B57)</f>
        <v>per 100 youth found delinquent</v>
      </c>
      <c r="C64" s="49">
        <f>IF(($E58&gt;0),C58,C57)</f>
        <v>0.47</v>
      </c>
      <c r="D64" s="49">
        <f>IF(($E58&gt;0),D58,D57)</f>
        <v>0.05</v>
      </c>
      <c r="E64" s="56">
        <f>MAX(C64:D64)</f>
        <v>0.47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9.625</v>
      </c>
      <c r="D66" s="56">
        <f>D60</f>
        <v>1.452</v>
      </c>
      <c r="E66" s="56">
        <f>MAX(C66:D66)</f>
        <v>9.625</v>
      </c>
      <c r="G66" s="1" t="str">
        <f>G60</f>
        <v>per 1000 youth</v>
      </c>
      <c r="L66" s="58">
        <f>L60</f>
        <v>1000</v>
      </c>
      <c r="M66" s="58">
        <f>IF((B66=G66),1,2)</f>
        <v>1</v>
      </c>
    </row>
    <row r="67" spans="2:13" ht="15" hidden="1" customHeight="1" x14ac:dyDescent="0.25">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x14ac:dyDescent="0.25">
      <c r="B68" s="49" t="str">
        <f t="shared" si="12"/>
        <v>per 100 referrals</v>
      </c>
      <c r="C68" s="49">
        <f t="shared" si="12"/>
        <v>1.2</v>
      </c>
      <c r="D68" s="49">
        <f t="shared" si="12"/>
        <v>0.09</v>
      </c>
      <c r="E68" s="49">
        <f>MAX(C68:D68)</f>
        <v>1.2</v>
      </c>
      <c r="G68" s="1" t="str">
        <f>G62</f>
        <v>per 100 referrals</v>
      </c>
      <c r="L68" s="58">
        <f>IF(($E62&gt;0),L62,L61)</f>
        <v>100</v>
      </c>
      <c r="M68" s="58">
        <f>IF((B68=G68),1,2)</f>
        <v>1</v>
      </c>
    </row>
    <row r="69" spans="2:13" ht="15" hidden="1" customHeight="1" x14ac:dyDescent="0.25">
      <c r="B69" s="49" t="str">
        <f>IF(($E63&gt;0),B63,B61)</f>
        <v>per 100 youth petitioned</v>
      </c>
      <c r="C69" s="49">
        <f>IF(($E63&gt;0),C63,C62)</f>
        <v>1.04</v>
      </c>
      <c r="D69" s="49">
        <f>IF(($E63&gt;0),D63,D62)</f>
        <v>7.0000000000000007E-2</v>
      </c>
      <c r="E69" s="49">
        <f>MAX(C69:D69)</f>
        <v>1.04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0.47</v>
      </c>
      <c r="D70" s="49">
        <f>IF(($E64&gt;0),D64,D63)</f>
        <v>0.05</v>
      </c>
      <c r="E70" s="56">
        <f>MAX(C70:D70)</f>
        <v>0.47</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Allegan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9625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75</v>
      </c>
      <c r="D7" s="34">
        <f>IF((AND(C66&gt;0,C7&gt;0)),(C7/C66),0)</f>
        <v>7.7922077922077921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75</v>
      </c>
      <c r="Q7" s="42">
        <f>C6-C7</f>
        <v>9550</v>
      </c>
      <c r="R7" s="42">
        <f t="shared" ref="R7:R15" si="5">SUM(N7:Q7)</f>
        <v>9625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120</v>
      </c>
      <c r="D8" s="34">
        <f>IF((AND(C67&gt;0,C8&gt;0)),(C8/C67),0)</f>
        <v>160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120</v>
      </c>
      <c r="Q8" s="42">
        <f>(C$67*L67)-C8</f>
        <v>-45</v>
      </c>
      <c r="R8" s="42">
        <f t="shared" si="5"/>
        <v>75.05</v>
      </c>
      <c r="S8" s="30">
        <f t="shared" si="6"/>
        <v>2701.7999999999997</v>
      </c>
      <c r="T8" s="30">
        <f t="shared" si="7"/>
        <v>-20227.5</v>
      </c>
      <c r="U8" s="31">
        <f t="shared" si="8"/>
        <v>-0.1335706340378198</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120</v>
      </c>
      <c r="R9" s="42">
        <f t="shared" si="5"/>
        <v>120</v>
      </c>
      <c r="S9" s="30">
        <f t="shared" si="6"/>
        <v>0</v>
      </c>
      <c r="T9" s="30">
        <f t="shared" si="7"/>
        <v>0</v>
      </c>
      <c r="U9" s="31" t="str">
        <f t="shared" si="8"/>
        <v>- -</v>
      </c>
    </row>
    <row r="10" spans="2:21" ht="18" customHeight="1" x14ac:dyDescent="0.25">
      <c r="B10" s="32" t="str">
        <f>'Data Entry'!A10</f>
        <v>5. Cases Involving Secure Detention</v>
      </c>
      <c r="C10" s="33">
        <f>'Data Entry'!C10</f>
        <v>15</v>
      </c>
      <c r="D10" s="34">
        <f>IF(((AND(C68&gt;0,C10&gt;0))),(C10/(C68)),0)</f>
        <v>12.5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15</v>
      </c>
      <c r="Q10" s="42">
        <f>(C$68*L68)-C10</f>
        <v>105</v>
      </c>
      <c r="R10" s="42">
        <f t="shared" si="5"/>
        <v>120</v>
      </c>
      <c r="S10" s="30">
        <f t="shared" si="6"/>
        <v>0</v>
      </c>
      <c r="T10" s="30">
        <f t="shared" si="7"/>
        <v>0</v>
      </c>
      <c r="U10" s="31" t="str">
        <f t="shared" si="8"/>
        <v>- -</v>
      </c>
    </row>
    <row r="11" spans="2:21" ht="18" customHeight="1" x14ac:dyDescent="0.25">
      <c r="B11" s="32" t="str">
        <f>'Data Entry'!A11</f>
        <v>6. Cases Petitioned (Charge Filed)</v>
      </c>
      <c r="C11" s="33">
        <f>'Data Entry'!C11</f>
        <v>104</v>
      </c>
      <c r="D11" s="34">
        <f>IF(((AND(C68&gt;0,C11&gt;0))),(C11/(C68)),0)</f>
        <v>86.666666666666671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104</v>
      </c>
      <c r="Q11" s="42">
        <f>(C$68*L68)-C11</f>
        <v>16</v>
      </c>
      <c r="R11" s="42">
        <f t="shared" si="5"/>
        <v>120</v>
      </c>
      <c r="S11" s="30">
        <f t="shared" si="6"/>
        <v>0</v>
      </c>
      <c r="T11" s="30">
        <f t="shared" si="7"/>
        <v>0</v>
      </c>
      <c r="U11" s="31" t="str">
        <f t="shared" si="8"/>
        <v>- -</v>
      </c>
    </row>
    <row r="12" spans="2:21" ht="18" customHeight="1" x14ac:dyDescent="0.25">
      <c r="B12" s="32" t="str">
        <f>'Data Entry'!A12</f>
        <v>7. Cases Resulting in Delinquent Findings</v>
      </c>
      <c r="C12" s="33">
        <f>'Data Entry'!C12</f>
        <v>47</v>
      </c>
      <c r="D12" s="34">
        <f>IF(((AND(C69&gt;0,C12&gt;0))),(C12/(C69)),0)</f>
        <v>45.192307692307693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47</v>
      </c>
      <c r="Q12" s="42">
        <f>(C69*L69)-C12</f>
        <v>57</v>
      </c>
      <c r="R12" s="42">
        <f t="shared" si="5"/>
        <v>104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47</v>
      </c>
      <c r="R13" s="42">
        <f t="shared" si="5"/>
        <v>47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45</v>
      </c>
      <c r="D14" s="34">
        <f>IF(((AND(C70&gt;0,C14&gt;0))), ((C14/(C70))),0)</f>
        <v>95.744680851063833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45</v>
      </c>
      <c r="Q14" s="42">
        <f>(C70*L70)-C14</f>
        <v>2</v>
      </c>
      <c r="R14" s="42">
        <f t="shared" si="5"/>
        <v>47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104</v>
      </c>
      <c r="R15" s="42">
        <f t="shared" si="5"/>
        <v>104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9.625</v>
      </c>
      <c r="D42" s="56">
        <f>E6/1000</f>
        <v>0</v>
      </c>
      <c r="E42" s="56">
        <f>MAX(C42:D42)</f>
        <v>9.625</v>
      </c>
      <c r="G42" s="1" t="str">
        <f>B42</f>
        <v>per 1000 youth</v>
      </c>
      <c r="L42" s="57">
        <v>1000</v>
      </c>
      <c r="M42" s="57"/>
      <c r="R42" s="49"/>
    </row>
    <row r="43" spans="2:18" ht="15" hidden="1" customHeight="1" x14ac:dyDescent="0.25">
      <c r="B43" s="49" t="s">
        <v>87</v>
      </c>
      <c r="C43" s="56">
        <f>C7/100</f>
        <v>0.75</v>
      </c>
      <c r="D43" s="56">
        <f>E7/100</f>
        <v>0</v>
      </c>
      <c r="E43" s="56">
        <f>MAX(C43:D43,0)</f>
        <v>0.75</v>
      </c>
      <c r="G43" s="1" t="str">
        <f>B43</f>
        <v>per 100 arrests</v>
      </c>
      <c r="L43" s="57">
        <v>100</v>
      </c>
      <c r="M43" s="57"/>
      <c r="R43" s="49"/>
    </row>
    <row r="44" spans="2:18" ht="15" hidden="1" customHeight="1" x14ac:dyDescent="0.25">
      <c r="B44" s="49" t="s">
        <v>88</v>
      </c>
      <c r="C44" s="56">
        <f>C8/100</f>
        <v>1.2</v>
      </c>
      <c r="D44" s="56">
        <f>E8/100</f>
        <v>0</v>
      </c>
      <c r="E44" s="56">
        <f>MAX(C44:D44,0)</f>
        <v>1.2</v>
      </c>
      <c r="G44" s="1" t="str">
        <f>B44</f>
        <v>per 100 referrals</v>
      </c>
      <c r="L44" s="57">
        <v>100</v>
      </c>
      <c r="M44" s="57"/>
      <c r="R44" s="49"/>
    </row>
    <row r="45" spans="2:18" ht="15" hidden="1" customHeight="1" x14ac:dyDescent="0.25">
      <c r="B45" s="49" t="s">
        <v>89</v>
      </c>
      <c r="C45" s="49">
        <f>C11/100</f>
        <v>1.04</v>
      </c>
      <c r="D45" s="49">
        <f>E11/100</f>
        <v>0</v>
      </c>
      <c r="E45" s="56">
        <f>MAX(C45:D45,0)</f>
        <v>1.04</v>
      </c>
      <c r="G45" s="1" t="str">
        <f>B45</f>
        <v>per 100 youth petitioned</v>
      </c>
      <c r="L45" s="57">
        <v>100</v>
      </c>
      <c r="M45" s="57"/>
      <c r="R45" s="49"/>
    </row>
    <row r="46" spans="2:18" ht="15" hidden="1" customHeight="1" x14ac:dyDescent="0.25">
      <c r="B46" s="49" t="s">
        <v>90</v>
      </c>
      <c r="C46" s="49">
        <f>C12/100</f>
        <v>0.47</v>
      </c>
      <c r="D46" s="49">
        <f>E12/100</f>
        <v>0</v>
      </c>
      <c r="E46" s="56">
        <f>MAX(C46:D46)</f>
        <v>0.47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9.625</v>
      </c>
      <c r="D48" s="56">
        <f>D42</f>
        <v>0</v>
      </c>
      <c r="E48" s="56">
        <f>MAX(C48:D48)</f>
        <v>9.625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1.2</v>
      </c>
      <c r="D50" s="49">
        <f t="shared" si="9"/>
        <v>0</v>
      </c>
      <c r="E50" s="49">
        <f>MAX(C50:D50)</f>
        <v>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1.04</v>
      </c>
      <c r="D51" s="49">
        <f>IF(($E45&gt;0),D45,D44)</f>
        <v>0</v>
      </c>
      <c r="E51" s="49">
        <f>MAX(C51:D51)</f>
        <v>1.04</v>
      </c>
      <c r="G51" s="1" t="str">
        <f>G45</f>
        <v>per 100 youth petitioned</v>
      </c>
      <c r="L51" s="58">
        <f>IF(($E45&gt;0),L45,L44)</f>
        <v>100</v>
      </c>
      <c r="M51" s="58"/>
    </row>
    <row r="52" spans="2:18" ht="15" hidden="1" customHeight="1" x14ac:dyDescent="0.25">
      <c r="B52" s="49" t="str">
        <f>IF(($E46&gt;0),B46,B45)</f>
        <v>per 100 youth found delinquent</v>
      </c>
      <c r="C52" s="49">
        <f>IF(($E46&gt;0),C46,C45)</f>
        <v>0.47</v>
      </c>
      <c r="D52" s="49">
        <f>IF(($E46&gt;0),D46,D45)</f>
        <v>0</v>
      </c>
      <c r="E52" s="56">
        <f>MAX(C52:D52)</f>
        <v>0.47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9.625</v>
      </c>
      <c r="D54" s="56">
        <f>D48</f>
        <v>0</v>
      </c>
      <c r="E54" s="56">
        <f>MAX(C54:D54)</f>
        <v>9.625</v>
      </c>
      <c r="G54" s="1" t="str">
        <f>G48</f>
        <v>per 1000 youth</v>
      </c>
      <c r="L54" s="58">
        <f>L48</f>
        <v>1000</v>
      </c>
      <c r="M54" s="58"/>
    </row>
    <row r="55" spans="2:18" ht="15" hidden="1" customHeight="1" x14ac:dyDescent="0.25">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x14ac:dyDescent="0.25">
      <c r="B56" s="49" t="str">
        <f t="shared" si="10"/>
        <v>per 100 referrals</v>
      </c>
      <c r="C56" s="49">
        <f t="shared" si="10"/>
        <v>1.2</v>
      </c>
      <c r="D56" s="49">
        <f t="shared" si="10"/>
        <v>0</v>
      </c>
      <c r="E56" s="49">
        <f>MAX(C56:D56)</f>
        <v>1.2</v>
      </c>
      <c r="G56" s="1" t="str">
        <f>G50</f>
        <v>per 100 referrals</v>
      </c>
      <c r="L56" s="58">
        <f>IF(($E50&gt;0),L50,L49)</f>
        <v>100</v>
      </c>
      <c r="M56" s="58"/>
    </row>
    <row r="57" spans="2:18" ht="15" hidden="1" customHeight="1" x14ac:dyDescent="0.25">
      <c r="B57" s="49" t="str">
        <f>IF(($E51&gt;0),B51,B49)</f>
        <v>per 100 youth petitioned</v>
      </c>
      <c r="C57" s="49">
        <f>IF(($E51&gt;0),C51,C50)</f>
        <v>1.04</v>
      </c>
      <c r="D57" s="49">
        <f>IF(($E51&gt;0),D51,D50)</f>
        <v>0</v>
      </c>
      <c r="E57" s="49">
        <f>MAX(C57:D57)</f>
        <v>1.04</v>
      </c>
      <c r="G57" s="1" t="str">
        <f>G51</f>
        <v>per 100 youth petitioned</v>
      </c>
      <c r="L57" s="58">
        <f>IF(($E51&gt;0),L51,L50)</f>
        <v>100</v>
      </c>
      <c r="M57" s="58"/>
    </row>
    <row r="58" spans="2:18" ht="15" hidden="1" customHeight="1" x14ac:dyDescent="0.25">
      <c r="B58" s="49" t="str">
        <f>IF(($E52&gt;0),B52,B51)</f>
        <v>per 100 youth found delinquent</v>
      </c>
      <c r="C58" s="49">
        <f>IF(($E52&gt;0),C52,C51)</f>
        <v>0.47</v>
      </c>
      <c r="D58" s="49">
        <f>IF(($E52&gt;0),D52,D51)</f>
        <v>0</v>
      </c>
      <c r="E58" s="56">
        <f>MAX(C58:D58)</f>
        <v>0.47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9.625</v>
      </c>
      <c r="D60" s="56">
        <f>D54</f>
        <v>0</v>
      </c>
      <c r="E60" s="56">
        <f>MAX(C60:D60)</f>
        <v>9.625</v>
      </c>
      <c r="G60" s="1" t="str">
        <f>G54</f>
        <v>per 1000 youth</v>
      </c>
      <c r="L60" s="58">
        <f>L54</f>
        <v>1000</v>
      </c>
      <c r="M60" s="58"/>
    </row>
    <row r="61" spans="2:18" ht="15" hidden="1" customHeight="1" x14ac:dyDescent="0.25">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x14ac:dyDescent="0.25">
      <c r="B62" s="49" t="str">
        <f t="shared" si="11"/>
        <v>per 100 referrals</v>
      </c>
      <c r="C62" s="49">
        <f t="shared" si="11"/>
        <v>1.2</v>
      </c>
      <c r="D62" s="49">
        <f t="shared" si="11"/>
        <v>0</v>
      </c>
      <c r="E62" s="49">
        <f>MAX(C62:D62)</f>
        <v>1.2</v>
      </c>
      <c r="G62" s="1" t="str">
        <f>G56</f>
        <v>per 100 referrals</v>
      </c>
      <c r="L62" s="58">
        <f>IF(($E56&gt;0),L56,L55)</f>
        <v>100</v>
      </c>
      <c r="M62" s="58"/>
    </row>
    <row r="63" spans="2:18" ht="15" hidden="1" customHeight="1" x14ac:dyDescent="0.25">
      <c r="B63" s="49" t="str">
        <f>IF(($E57&gt;0),B57,B55)</f>
        <v>per 100 youth petitioned</v>
      </c>
      <c r="C63" s="49">
        <f>IF(($E57&gt;0),C57,C56)</f>
        <v>1.04</v>
      </c>
      <c r="D63" s="49">
        <f>IF(($E57&gt;0),D57,D56)</f>
        <v>0</v>
      </c>
      <c r="E63" s="49">
        <f>MAX(C63:D63)</f>
        <v>1.04</v>
      </c>
      <c r="G63" s="1" t="str">
        <f>G57</f>
        <v>per 100 youth petitioned</v>
      </c>
      <c r="L63" s="58">
        <f>IF(($E57&gt;0),L57,L56)</f>
        <v>100</v>
      </c>
      <c r="M63" s="58"/>
    </row>
    <row r="64" spans="2:18" ht="15" hidden="1" customHeight="1" x14ac:dyDescent="0.25">
      <c r="B64" s="49" t="str">
        <f>IF(($E58&gt;0),B58,B57)</f>
        <v>per 100 youth found delinquent</v>
      </c>
      <c r="C64" s="49">
        <f>IF(($E58&gt;0),C58,C57)</f>
        <v>0.47</v>
      </c>
      <c r="D64" s="49">
        <f>IF(($E58&gt;0),D58,D57)</f>
        <v>0</v>
      </c>
      <c r="E64" s="56">
        <f>MAX(C64:D64)</f>
        <v>0.47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9.625</v>
      </c>
      <c r="D66" s="56">
        <f>D60</f>
        <v>0</v>
      </c>
      <c r="E66" s="56">
        <f>MAX(C66:D66)</f>
        <v>9.625</v>
      </c>
      <c r="G66" s="1" t="str">
        <f>G60</f>
        <v>per 1000 youth</v>
      </c>
      <c r="L66" s="58">
        <f>L60</f>
        <v>1000</v>
      </c>
      <c r="M66" s="58">
        <f>IF((B66=G66),1,2)</f>
        <v>1</v>
      </c>
    </row>
    <row r="67" spans="2:13" ht="15" hidden="1" customHeight="1" x14ac:dyDescent="0.25">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x14ac:dyDescent="0.25">
      <c r="B68" s="49" t="str">
        <f t="shared" si="12"/>
        <v>per 100 referrals</v>
      </c>
      <c r="C68" s="49">
        <f t="shared" si="12"/>
        <v>1.2</v>
      </c>
      <c r="D68" s="49">
        <f t="shared" si="12"/>
        <v>0</v>
      </c>
      <c r="E68" s="49">
        <f>MAX(C68:D68)</f>
        <v>1.2</v>
      </c>
      <c r="G68" s="1" t="str">
        <f>G62</f>
        <v>per 100 referrals</v>
      </c>
      <c r="L68" s="58">
        <f>IF(($E62&gt;0),L62,L61)</f>
        <v>100</v>
      </c>
      <c r="M68" s="58">
        <f>IF((B68=G68),1,2)</f>
        <v>1</v>
      </c>
    </row>
    <row r="69" spans="2:13" ht="15" hidden="1" customHeight="1" x14ac:dyDescent="0.25">
      <c r="B69" s="49" t="str">
        <f>IF(($E63&gt;0),B63,B61)</f>
        <v>per 100 youth petitioned</v>
      </c>
      <c r="C69" s="49">
        <f>IF(($E63&gt;0),C63,C62)</f>
        <v>1.04</v>
      </c>
      <c r="D69" s="49">
        <f>IF(($E63&gt;0),D63,D62)</f>
        <v>0</v>
      </c>
      <c r="E69" s="49">
        <f>MAX(C69:D69)</f>
        <v>1.04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0.47</v>
      </c>
      <c r="D70" s="49">
        <f>IF(($E64&gt;0),D64,D63)</f>
        <v>0</v>
      </c>
      <c r="E70" s="56">
        <f>MAX(C70:D70)</f>
        <v>0.47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Allegan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9625</v>
      </c>
      <c r="D6" s="34"/>
      <c r="E6" s="33">
        <f>'Data Entry'!H6</f>
        <v>83</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75</v>
      </c>
      <c r="D7" s="34">
        <f>IF((AND(C66&gt;0,C7&gt;0)),(C7/C66),0)</f>
        <v>7.7922077922077921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83</v>
      </c>
      <c r="P7" s="42">
        <f t="shared" ref="P7:P15" si="4">C7</f>
        <v>75</v>
      </c>
      <c r="Q7" s="42">
        <f>C6-C7</f>
        <v>9550</v>
      </c>
      <c r="R7" s="42">
        <f t="shared" ref="R7:R15" si="5">SUM(N7:Q7)</f>
        <v>9708</v>
      </c>
      <c r="S7" s="30">
        <f t="shared" ref="S7:S15" si="6">R7*((((N7*Q7)-(O7*P7))^2))</f>
        <v>376191067500</v>
      </c>
      <c r="T7" s="30">
        <f t="shared" ref="T7:T15" si="7">(N7+O7)*(P7+Q7)*(N7+P7)*(O7+Q7)</f>
        <v>577167215625</v>
      </c>
      <c r="U7" s="31">
        <f t="shared" ref="U7:U15" si="8">IF((S7&gt;0),S7/T7,"- -")</f>
        <v>0.65178869713282672</v>
      </c>
    </row>
    <row r="8" spans="2:21" ht="18" customHeight="1" x14ac:dyDescent="0.25">
      <c r="B8" s="32" t="str">
        <f>'Data Entry'!A8</f>
        <v>3. Refer to Juvenile Court</v>
      </c>
      <c r="C8" s="33">
        <f>'Data Entry'!C8</f>
        <v>120</v>
      </c>
      <c r="D8" s="34">
        <f>IF((AND(C67&gt;0,C8&gt;0)),(C8/C67),0)</f>
        <v>160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120</v>
      </c>
      <c r="Q8" s="42">
        <f>(C$67*L67)-C8</f>
        <v>-45</v>
      </c>
      <c r="R8" s="42">
        <f t="shared" si="5"/>
        <v>75.05</v>
      </c>
      <c r="S8" s="30">
        <f t="shared" si="6"/>
        <v>2701.7999999999997</v>
      </c>
      <c r="T8" s="30">
        <f t="shared" si="7"/>
        <v>-20227.5</v>
      </c>
      <c r="U8" s="31">
        <f t="shared" si="8"/>
        <v>-0.1335706340378198</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120</v>
      </c>
      <c r="R9" s="42">
        <f t="shared" si="5"/>
        <v>120</v>
      </c>
      <c r="S9" s="30">
        <f t="shared" si="6"/>
        <v>0</v>
      </c>
      <c r="T9" s="30">
        <f t="shared" si="7"/>
        <v>0</v>
      </c>
      <c r="U9" s="31" t="str">
        <f t="shared" si="8"/>
        <v>- -</v>
      </c>
    </row>
    <row r="10" spans="2:21" ht="18" customHeight="1" x14ac:dyDescent="0.25">
      <c r="B10" s="32" t="str">
        <f>'Data Entry'!A10</f>
        <v>5. Cases Involving Secure Detention</v>
      </c>
      <c r="C10" s="33">
        <f>'Data Entry'!C10</f>
        <v>15</v>
      </c>
      <c r="D10" s="34">
        <f>IF(((AND(C68&gt;0,C10&gt;0))),(C10/(C68)),0)</f>
        <v>12.5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15</v>
      </c>
      <c r="Q10" s="42">
        <f>(C$68*L68)-C10</f>
        <v>105</v>
      </c>
      <c r="R10" s="42">
        <f t="shared" si="5"/>
        <v>120</v>
      </c>
      <c r="S10" s="30">
        <f t="shared" si="6"/>
        <v>0</v>
      </c>
      <c r="T10" s="30">
        <f t="shared" si="7"/>
        <v>0</v>
      </c>
      <c r="U10" s="31" t="str">
        <f t="shared" si="8"/>
        <v>- -</v>
      </c>
    </row>
    <row r="11" spans="2:21" ht="18" customHeight="1" x14ac:dyDescent="0.25">
      <c r="B11" s="32" t="str">
        <f>'Data Entry'!A11</f>
        <v>6. Cases Petitioned (Charge Filed)</v>
      </c>
      <c r="C11" s="33">
        <f>'Data Entry'!C11</f>
        <v>104</v>
      </c>
      <c r="D11" s="34">
        <f>IF(((AND(C68&gt;0,C11&gt;0))),(C11/(C68)),0)</f>
        <v>86.666666666666671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104</v>
      </c>
      <c r="Q11" s="42">
        <f>(C$68*L68)-C11</f>
        <v>16</v>
      </c>
      <c r="R11" s="42">
        <f t="shared" si="5"/>
        <v>120</v>
      </c>
      <c r="S11" s="30">
        <f t="shared" si="6"/>
        <v>0</v>
      </c>
      <c r="T11" s="30">
        <f t="shared" si="7"/>
        <v>0</v>
      </c>
      <c r="U11" s="31" t="str">
        <f t="shared" si="8"/>
        <v>- -</v>
      </c>
    </row>
    <row r="12" spans="2:21" ht="18" customHeight="1" x14ac:dyDescent="0.25">
      <c r="B12" s="32" t="str">
        <f>'Data Entry'!A12</f>
        <v>7. Cases Resulting in Delinquent Findings</v>
      </c>
      <c r="C12" s="33">
        <f>'Data Entry'!C12</f>
        <v>47</v>
      </c>
      <c r="D12" s="34">
        <f>IF(((AND(C69&gt;0,C12&gt;0))),(C12/(C69)),0)</f>
        <v>45.192307692307693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47</v>
      </c>
      <c r="Q12" s="42">
        <f>(C69*L69)-C12</f>
        <v>57</v>
      </c>
      <c r="R12" s="42">
        <f t="shared" si="5"/>
        <v>104</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47</v>
      </c>
      <c r="R13" s="42">
        <f t="shared" si="5"/>
        <v>47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45</v>
      </c>
      <c r="D14" s="34">
        <f>IF(((AND(C70&gt;0,C14&gt;0))), ((C14/(C70))),0)</f>
        <v>95.744680851063833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45</v>
      </c>
      <c r="Q14" s="42">
        <f>(C70*L70)-C14</f>
        <v>2</v>
      </c>
      <c r="R14" s="42">
        <f t="shared" si="5"/>
        <v>47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104</v>
      </c>
      <c r="R15" s="42">
        <f t="shared" si="5"/>
        <v>104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9.625</v>
      </c>
      <c r="D42" s="56">
        <f>E6/1000</f>
        <v>8.3000000000000004E-2</v>
      </c>
      <c r="E42" s="56">
        <f>MAX(C42:D42)</f>
        <v>9.625</v>
      </c>
      <c r="G42" s="1" t="str">
        <f>B42</f>
        <v>per 1000 youth</v>
      </c>
      <c r="L42" s="57">
        <v>1000</v>
      </c>
      <c r="M42" s="57"/>
      <c r="R42" s="49"/>
    </row>
    <row r="43" spans="2:18" ht="15" hidden="1" customHeight="1" x14ac:dyDescent="0.25">
      <c r="B43" s="49" t="s">
        <v>87</v>
      </c>
      <c r="C43" s="56">
        <f>C7/100</f>
        <v>0.75</v>
      </c>
      <c r="D43" s="56">
        <f>E7/100</f>
        <v>0</v>
      </c>
      <c r="E43" s="56">
        <f>MAX(C43:D43,0)</f>
        <v>0.75</v>
      </c>
      <c r="G43" s="1" t="str">
        <f>B43</f>
        <v>per 100 arrests</v>
      </c>
      <c r="L43" s="57">
        <v>100</v>
      </c>
      <c r="M43" s="57"/>
      <c r="R43" s="49"/>
    </row>
    <row r="44" spans="2:18" ht="15" hidden="1" customHeight="1" x14ac:dyDescent="0.25">
      <c r="B44" s="49" t="s">
        <v>88</v>
      </c>
      <c r="C44" s="56">
        <f>C8/100</f>
        <v>1.2</v>
      </c>
      <c r="D44" s="56">
        <f>E8/100</f>
        <v>0</v>
      </c>
      <c r="E44" s="56">
        <f>MAX(C44:D44,0)</f>
        <v>1.2</v>
      </c>
      <c r="G44" s="1" t="str">
        <f>B44</f>
        <v>per 100 referrals</v>
      </c>
      <c r="L44" s="57">
        <v>100</v>
      </c>
      <c r="M44" s="57"/>
      <c r="R44" s="49"/>
    </row>
    <row r="45" spans="2:18" ht="15" hidden="1" customHeight="1" x14ac:dyDescent="0.25">
      <c r="B45" s="49" t="s">
        <v>89</v>
      </c>
      <c r="C45" s="49">
        <f>C11/100</f>
        <v>1.04</v>
      </c>
      <c r="D45" s="49">
        <f>E11/100</f>
        <v>0</v>
      </c>
      <c r="E45" s="56">
        <f>MAX(C45:D45,0)</f>
        <v>1.04</v>
      </c>
      <c r="G45" s="1" t="str">
        <f>B45</f>
        <v>per 100 youth petitioned</v>
      </c>
      <c r="L45" s="57">
        <v>100</v>
      </c>
      <c r="M45" s="57"/>
      <c r="R45" s="49"/>
    </row>
    <row r="46" spans="2:18" ht="15" hidden="1" customHeight="1" x14ac:dyDescent="0.25">
      <c r="B46" s="49" t="s">
        <v>90</v>
      </c>
      <c r="C46" s="49">
        <f>C12/100</f>
        <v>0.47</v>
      </c>
      <c r="D46" s="49">
        <f>E12/100</f>
        <v>0</v>
      </c>
      <c r="E46" s="56">
        <f>MAX(C46:D46)</f>
        <v>0.47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9.625</v>
      </c>
      <c r="D48" s="56">
        <f>D42</f>
        <v>8.3000000000000004E-2</v>
      </c>
      <c r="E48" s="56">
        <f>MAX(C48:D48)</f>
        <v>9.625</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0.75</v>
      </c>
      <c r="D49" s="49">
        <f t="shared" si="9"/>
        <v>0</v>
      </c>
      <c r="E49" s="49">
        <f>MAX(C49:D49)</f>
        <v>0.75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1.2</v>
      </c>
      <c r="D50" s="49">
        <f t="shared" si="9"/>
        <v>0</v>
      </c>
      <c r="E50" s="49">
        <f>MAX(C50:D50)</f>
        <v>1.2</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1.04</v>
      </c>
      <c r="D51" s="49">
        <f>IF(($E45&gt;0),D45,D44)</f>
        <v>0</v>
      </c>
      <c r="E51" s="49">
        <f>MAX(C51:D51)</f>
        <v>1.04</v>
      </c>
      <c r="G51" s="1" t="str">
        <f>G45</f>
        <v>per 100 youth petitioned</v>
      </c>
      <c r="L51" s="58">
        <f>IF(($E45&gt;0),L45,L44)</f>
        <v>100</v>
      </c>
      <c r="M51" s="58"/>
    </row>
    <row r="52" spans="2:18" ht="15" hidden="1" customHeight="1" x14ac:dyDescent="0.25">
      <c r="B52" s="49" t="str">
        <f>IF(($E46&gt;0),B46,B45)</f>
        <v>per 100 youth found delinquent</v>
      </c>
      <c r="C52" s="49">
        <f>IF(($E46&gt;0),C46,C45)</f>
        <v>0.47</v>
      </c>
      <c r="D52" s="49">
        <f>IF(($E46&gt;0),D46,D45)</f>
        <v>0</v>
      </c>
      <c r="E52" s="56">
        <f>MAX(C52:D52)</f>
        <v>0.47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9.625</v>
      </c>
      <c r="D54" s="56">
        <f>D48</f>
        <v>8.3000000000000004E-2</v>
      </c>
      <c r="E54" s="56">
        <f>MAX(C54:D54)</f>
        <v>9.625</v>
      </c>
      <c r="G54" s="1" t="str">
        <f>G48</f>
        <v>per 1000 youth</v>
      </c>
      <c r="L54" s="58">
        <f>L48</f>
        <v>1000</v>
      </c>
      <c r="M54" s="58"/>
    </row>
    <row r="55" spans="2:18" ht="15" hidden="1" customHeight="1" x14ac:dyDescent="0.25">
      <c r="B55" s="49" t="str">
        <f t="shared" ref="B55:D56" si="10">IF(($E49&gt;0),B49,B48)</f>
        <v>per 100 arrests</v>
      </c>
      <c r="C55" s="49">
        <f t="shared" si="10"/>
        <v>0.75</v>
      </c>
      <c r="D55" s="49">
        <f t="shared" si="10"/>
        <v>0</v>
      </c>
      <c r="E55" s="49">
        <f>MAX(C55:D55)</f>
        <v>0.75</v>
      </c>
      <c r="G55" s="1" t="str">
        <f>G49</f>
        <v>per 100 arrests</v>
      </c>
      <c r="L55" s="58">
        <f>IF(($E49&gt;0),L49,L48)</f>
        <v>100</v>
      </c>
      <c r="M55" s="58"/>
    </row>
    <row r="56" spans="2:18" ht="15" hidden="1" customHeight="1" x14ac:dyDescent="0.25">
      <c r="B56" s="49" t="str">
        <f t="shared" si="10"/>
        <v>per 100 referrals</v>
      </c>
      <c r="C56" s="49">
        <f t="shared" si="10"/>
        <v>1.2</v>
      </c>
      <c r="D56" s="49">
        <f t="shared" si="10"/>
        <v>0</v>
      </c>
      <c r="E56" s="49">
        <f>MAX(C56:D56)</f>
        <v>1.2</v>
      </c>
      <c r="G56" s="1" t="str">
        <f>G50</f>
        <v>per 100 referrals</v>
      </c>
      <c r="L56" s="58">
        <f>IF(($E50&gt;0),L50,L49)</f>
        <v>100</v>
      </c>
      <c r="M56" s="58"/>
    </row>
    <row r="57" spans="2:18" ht="15" hidden="1" customHeight="1" x14ac:dyDescent="0.25">
      <c r="B57" s="49" t="str">
        <f>IF(($E51&gt;0),B51,B49)</f>
        <v>per 100 youth petitioned</v>
      </c>
      <c r="C57" s="49">
        <f>IF(($E51&gt;0),C51,C50)</f>
        <v>1.04</v>
      </c>
      <c r="D57" s="49">
        <f>IF(($E51&gt;0),D51,D50)</f>
        <v>0</v>
      </c>
      <c r="E57" s="49">
        <f>MAX(C57:D57)</f>
        <v>1.04</v>
      </c>
      <c r="G57" s="1" t="str">
        <f>G51</f>
        <v>per 100 youth petitioned</v>
      </c>
      <c r="L57" s="58">
        <f>IF(($E51&gt;0),L51,L50)</f>
        <v>100</v>
      </c>
      <c r="M57" s="58"/>
    </row>
    <row r="58" spans="2:18" ht="15" hidden="1" customHeight="1" x14ac:dyDescent="0.25">
      <c r="B58" s="49" t="str">
        <f>IF(($E52&gt;0),B52,B51)</f>
        <v>per 100 youth found delinquent</v>
      </c>
      <c r="C58" s="49">
        <f>IF(($E52&gt;0),C52,C51)</f>
        <v>0.47</v>
      </c>
      <c r="D58" s="49">
        <f>IF(($E52&gt;0),D52,D51)</f>
        <v>0</v>
      </c>
      <c r="E58" s="56">
        <f>MAX(C58:D58)</f>
        <v>0.47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9.625</v>
      </c>
      <c r="D60" s="56">
        <f>D54</f>
        <v>8.3000000000000004E-2</v>
      </c>
      <c r="E60" s="56">
        <f>MAX(C60:D60)</f>
        <v>9.625</v>
      </c>
      <c r="G60" s="1" t="str">
        <f>G54</f>
        <v>per 1000 youth</v>
      </c>
      <c r="L60" s="58">
        <f>L54</f>
        <v>1000</v>
      </c>
      <c r="M60" s="58"/>
    </row>
    <row r="61" spans="2:18" ht="15" hidden="1" customHeight="1" x14ac:dyDescent="0.25">
      <c r="B61" s="49" t="str">
        <f t="shared" ref="B61:D62" si="11">IF(($E55&gt;0),B55,B54)</f>
        <v>per 100 arrests</v>
      </c>
      <c r="C61" s="49">
        <f t="shared" si="11"/>
        <v>0.75</v>
      </c>
      <c r="D61" s="49">
        <f t="shared" si="11"/>
        <v>0</v>
      </c>
      <c r="E61" s="49">
        <f>MAX(C61:D61)</f>
        <v>0.75</v>
      </c>
      <c r="G61" s="1" t="str">
        <f>G55</f>
        <v>per 100 arrests</v>
      </c>
      <c r="L61" s="58">
        <f>IF(($E55&gt;0),L55,L54)</f>
        <v>100</v>
      </c>
      <c r="M61" s="58"/>
    </row>
    <row r="62" spans="2:18" ht="15" hidden="1" customHeight="1" x14ac:dyDescent="0.25">
      <c r="B62" s="49" t="str">
        <f t="shared" si="11"/>
        <v>per 100 referrals</v>
      </c>
      <c r="C62" s="49">
        <f t="shared" si="11"/>
        <v>1.2</v>
      </c>
      <c r="D62" s="49">
        <f t="shared" si="11"/>
        <v>0</v>
      </c>
      <c r="E62" s="49">
        <f>MAX(C62:D62)</f>
        <v>1.2</v>
      </c>
      <c r="G62" s="1" t="str">
        <f>G56</f>
        <v>per 100 referrals</v>
      </c>
      <c r="L62" s="58">
        <f>IF(($E56&gt;0),L56,L55)</f>
        <v>100</v>
      </c>
      <c r="M62" s="58"/>
    </row>
    <row r="63" spans="2:18" ht="15" hidden="1" customHeight="1" x14ac:dyDescent="0.25">
      <c r="B63" s="49" t="str">
        <f>IF(($E57&gt;0),B57,B55)</f>
        <v>per 100 youth petitioned</v>
      </c>
      <c r="C63" s="49">
        <f>IF(($E57&gt;0),C57,C56)</f>
        <v>1.04</v>
      </c>
      <c r="D63" s="49">
        <f>IF(($E57&gt;0),D57,D56)</f>
        <v>0</v>
      </c>
      <c r="E63" s="49">
        <f>MAX(C63:D63)</f>
        <v>1.04</v>
      </c>
      <c r="G63" s="1" t="str">
        <f>G57</f>
        <v>per 100 youth petitioned</v>
      </c>
      <c r="L63" s="58">
        <f>IF(($E57&gt;0),L57,L56)</f>
        <v>100</v>
      </c>
      <c r="M63" s="58"/>
    </row>
    <row r="64" spans="2:18" ht="15" hidden="1" customHeight="1" x14ac:dyDescent="0.25">
      <c r="B64" s="49" t="str">
        <f>IF(($E58&gt;0),B58,B57)</f>
        <v>per 100 youth found delinquent</v>
      </c>
      <c r="C64" s="49">
        <f>IF(($E58&gt;0),C58,C57)</f>
        <v>0.47</v>
      </c>
      <c r="D64" s="49">
        <f>IF(($E58&gt;0),D58,D57)</f>
        <v>0</v>
      </c>
      <c r="E64" s="56">
        <f>MAX(C64:D64)</f>
        <v>0.47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9.625</v>
      </c>
      <c r="D66" s="56">
        <f>D60</f>
        <v>8.3000000000000004E-2</v>
      </c>
      <c r="E66" s="56">
        <f>MAX(C66:D66)</f>
        <v>9.625</v>
      </c>
      <c r="G66" s="1" t="str">
        <f>G60</f>
        <v>per 1000 youth</v>
      </c>
      <c r="L66" s="58">
        <f>L60</f>
        <v>1000</v>
      </c>
      <c r="M66" s="58">
        <f>IF((B66=G66),1,2)</f>
        <v>1</v>
      </c>
    </row>
    <row r="67" spans="2:13" ht="15" hidden="1" customHeight="1" x14ac:dyDescent="0.25">
      <c r="B67" s="49" t="str">
        <f t="shared" ref="B67:D68" si="12">IF(($E61&gt;0),B61,B60)</f>
        <v>per 100 arrests</v>
      </c>
      <c r="C67" s="49">
        <f t="shared" si="12"/>
        <v>0.75</v>
      </c>
      <c r="D67" s="49">
        <f t="shared" si="12"/>
        <v>0</v>
      </c>
      <c r="E67" s="49">
        <f>MAX(C67:D67)</f>
        <v>0.75</v>
      </c>
      <c r="G67" s="1" t="str">
        <f>G61</f>
        <v>per 100 arrests</v>
      </c>
      <c r="L67" s="58">
        <f>IF(($E61&gt;0),L61,L60)</f>
        <v>100</v>
      </c>
      <c r="M67" s="58">
        <f>IF((B67=G67),1,2)</f>
        <v>1</v>
      </c>
    </row>
    <row r="68" spans="2:13" ht="15" hidden="1" customHeight="1" x14ac:dyDescent="0.25">
      <c r="B68" s="49" t="str">
        <f t="shared" si="12"/>
        <v>per 100 referrals</v>
      </c>
      <c r="C68" s="49">
        <f t="shared" si="12"/>
        <v>1.2</v>
      </c>
      <c r="D68" s="49">
        <f t="shared" si="12"/>
        <v>0</v>
      </c>
      <c r="E68" s="49">
        <f>MAX(C68:D68)</f>
        <v>1.2</v>
      </c>
      <c r="G68" s="1" t="str">
        <f>G62</f>
        <v>per 100 referrals</v>
      </c>
      <c r="L68" s="58">
        <f>IF(($E62&gt;0),L62,L61)</f>
        <v>100</v>
      </c>
      <c r="M68" s="58">
        <f>IF((B68=G68),1,2)</f>
        <v>1</v>
      </c>
    </row>
    <row r="69" spans="2:13" ht="15" hidden="1" customHeight="1" x14ac:dyDescent="0.25">
      <c r="B69" s="49" t="str">
        <f>IF(($E63&gt;0),B63,B61)</f>
        <v>per 100 youth petitioned</v>
      </c>
      <c r="C69" s="49">
        <f>IF(($E63&gt;0),C63,C62)</f>
        <v>1.04</v>
      </c>
      <c r="D69" s="49">
        <f>IF(($E63&gt;0),D63,D62)</f>
        <v>0</v>
      </c>
      <c r="E69" s="49">
        <f>MAX(C69:D69)</f>
        <v>1.04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0.47</v>
      </c>
      <c r="D70" s="49">
        <f>IF(($E64&gt;0),D64,D63)</f>
        <v>0</v>
      </c>
      <c r="E70" s="56">
        <f>MAX(C70:D70)</f>
        <v>0.47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U47JMPN4QEAR-1806752177-30147</_dlc_DocId>
    <_dlc_DocIdUrl xmlns="ac3811b5-0f3e-49e2-ba69-f2ffa0c782af">
      <Url>https://michiganphi.sharepoint.com/sites/CMDMC/_layouts/15/DocIdRedir.aspx?ID=U47JMPN4QEAR-1806752177-30147</Url>
      <Description>U47JMPN4QEAR-1806752177-30147</Description>
    </_dlc_DocIdUrl>
  </documentManagement>
</p:properties>
</file>

<file path=customXml/itemProps1.xml><?xml version="1.0" encoding="utf-8"?>
<ds:datastoreItem xmlns:ds="http://schemas.openxmlformats.org/officeDocument/2006/customXml" ds:itemID="{CFE3BBC7-9265-4547-9A33-FDB88C0AD83B}"/>
</file>

<file path=customXml/itemProps2.xml><?xml version="1.0" encoding="utf-8"?>
<ds:datastoreItem xmlns:ds="http://schemas.openxmlformats.org/officeDocument/2006/customXml" ds:itemID="{0BC9374A-2E90-43B3-BA6B-92C68906EEE7}"/>
</file>

<file path=customXml/itemProps3.xml><?xml version="1.0" encoding="utf-8"?>
<ds:datastoreItem xmlns:ds="http://schemas.openxmlformats.org/officeDocument/2006/customXml" ds:itemID="{7D5FC9CB-C407-4AE9-9F25-E7A922560CD7}"/>
</file>

<file path=customXml/itemProps4.xml><?xml version="1.0" encoding="utf-8"?>
<ds:datastoreItem xmlns:ds="http://schemas.openxmlformats.org/officeDocument/2006/customXml" ds:itemID="{FA315637-B4F0-4CFF-B392-9D7D1BFEE4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570caa91-4c62-4df2-8d09-3f7a1cd734a5</vt:lpwstr>
  </property>
</Properties>
</file>