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A0443F74-E1E5-4A10-94D3-984E0E127407}" xr6:coauthVersionLast="47" xr6:coauthVersionMax="47" xr10:uidLastSave="{8D6F417F-50BF-45F9-8B30-E5C9A0439DB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M66" i="8"/>
  <c r="F27" i="8"/>
  <c r="F27" i="5"/>
  <c r="M66" i="5"/>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3" i="6"/>
  <c r="L49" i="6" s="1"/>
  <c r="E44" i="6"/>
  <c r="B50" i="6"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C49" i="6"/>
  <c r="B49" i="6"/>
  <c r="D23" i="10"/>
  <c r="C48" i="7"/>
  <c r="E42" i="7"/>
  <c r="C54" i="8"/>
  <c r="E48" i="8"/>
  <c r="H26" i="10"/>
  <c r="D26" i="10"/>
  <c r="I26" i="10"/>
  <c r="C26" i="10"/>
  <c r="E20" i="10"/>
  <c r="C20" i="10"/>
  <c r="G20" i="10"/>
  <c r="H20" i="10"/>
  <c r="D20" i="10"/>
  <c r="G23" i="10"/>
  <c r="G19" i="10"/>
  <c r="E44" i="7"/>
  <c r="H23" i="10"/>
  <c r="E22" i="10"/>
  <c r="E25" i="10"/>
  <c r="F20" i="10"/>
  <c r="D50" i="6" l="1"/>
  <c r="C50" i="6"/>
  <c r="D52" i="3"/>
  <c r="D49" i="6"/>
  <c r="D50" i="5"/>
  <c r="E50" i="5" s="1"/>
  <c r="L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5" i="5" s="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C55" i="5"/>
  <c r="L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B56" i="8"/>
  <c r="C57" i="8"/>
  <c r="C64" i="8" s="1"/>
  <c r="D64" i="5"/>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L70" i="5" l="1"/>
  <c r="C69" i="7"/>
  <c r="D12" i="7" s="1"/>
  <c r="C63" i="8"/>
  <c r="D70" i="6"/>
  <c r="F14" i="6" s="1"/>
  <c r="C70" i="6"/>
  <c r="C70" i="3"/>
  <c r="D14" i="3" s="1"/>
  <c r="L63" i="8"/>
  <c r="L70" i="8" s="1"/>
  <c r="E63" i="3"/>
  <c r="C69" i="3" s="1"/>
  <c r="D15" i="3" s="1"/>
  <c r="L69" i="7"/>
  <c r="L70" i="3"/>
  <c r="L70" i="6"/>
  <c r="D63" i="8"/>
  <c r="E63" i="8" s="1"/>
  <c r="D69"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F13" i="6"/>
  <c r="Q12" i="7"/>
  <c r="L69" i="3"/>
  <c r="Q12" i="3" s="1"/>
  <c r="E70" i="6"/>
  <c r="E69" i="7"/>
  <c r="D70" i="8"/>
  <c r="F13" i="8" s="1"/>
  <c r="Q15" i="7"/>
  <c r="Q13" i="8"/>
  <c r="Q14" i="3"/>
  <c r="E70" i="3"/>
  <c r="D14" i="6"/>
  <c r="B69" i="3"/>
  <c r="M69" i="3" s="1"/>
  <c r="D69" i="3"/>
  <c r="E69" i="3" s="1"/>
  <c r="O14" i="6"/>
  <c r="D12" i="3"/>
  <c r="D13" i="6"/>
  <c r="O13" i="6"/>
  <c r="D13" i="3"/>
  <c r="O13" i="3"/>
  <c r="F14" i="3"/>
  <c r="Q13" i="3"/>
  <c r="Q13" i="6"/>
  <c r="Q14" i="6"/>
  <c r="C69" i="6"/>
  <c r="D12" i="6" s="1"/>
  <c r="F12" i="7"/>
  <c r="O12" i="7"/>
  <c r="K12" i="7" s="1"/>
  <c r="O15" i="7"/>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3" i="8" l="1"/>
  <c r="K13" i="8" s="1"/>
  <c r="T15" i="7"/>
  <c r="R15" i="7"/>
  <c r="S15" i="7" s="1"/>
  <c r="U15" i="7" s="1"/>
  <c r="J15" i="7" s="1"/>
  <c r="E70" i="8"/>
  <c r="F14" i="8"/>
  <c r="O14" i="8"/>
  <c r="K14" i="8" s="1"/>
  <c r="D15" i="6"/>
  <c r="F35" i="3"/>
  <c r="R13" i="8"/>
  <c r="S13" i="8" s="1"/>
  <c r="U13" i="8" s="1"/>
  <c r="J13" i="8" s="1"/>
  <c r="M13" i="8" s="1"/>
  <c r="G13" i="8" s="1"/>
  <c r="K14" i="16" s="1"/>
  <c r="T12" i="7"/>
  <c r="T13" i="3"/>
  <c r="R14" i="6"/>
  <c r="S14" i="6" s="1"/>
  <c r="U14" i="6" s="1"/>
  <c r="J14" i="6" s="1"/>
  <c r="M14" i="6" s="1"/>
  <c r="G14" i="6" s="1"/>
  <c r="M15" i="13" s="1"/>
  <c r="T13" i="6"/>
  <c r="R14" i="3"/>
  <c r="S14" i="3" s="1"/>
  <c r="U14" i="3" s="1"/>
  <c r="J14" i="3" s="1"/>
  <c r="M14" i="3" s="1"/>
  <c r="G14" i="3" s="1"/>
  <c r="I15" i="16" s="1"/>
  <c r="K14" i="6"/>
  <c r="K13" i="6"/>
  <c r="F12" i="3"/>
  <c r="O12" i="3"/>
  <c r="R12" i="3" s="1"/>
  <c r="S12" i="3" s="1"/>
  <c r="U12" i="3" s="1"/>
  <c r="J12" i="3" s="1"/>
  <c r="F32" i="3"/>
  <c r="F15" i="3"/>
  <c r="O15" i="3"/>
  <c r="K15" i="3" s="1"/>
  <c r="R13" i="6"/>
  <c r="S13" i="6" s="1"/>
  <c r="U13" i="6" s="1"/>
  <c r="J13" i="6" s="1"/>
  <c r="M13" i="6" s="1"/>
  <c r="G13" i="6" s="1"/>
  <c r="G13" i="9" s="1"/>
  <c r="K13" i="3"/>
  <c r="T14" i="6"/>
  <c r="R13" i="3"/>
  <c r="S13" i="3" s="1"/>
  <c r="U13" i="3" s="1"/>
  <c r="J13" i="3" s="1"/>
  <c r="R12" i="7"/>
  <c r="S12" i="7" s="1"/>
  <c r="U12" i="7" s="1"/>
  <c r="J12" i="7" s="1"/>
  <c r="L12" i="7" s="1"/>
  <c r="S13" i="16" s="1"/>
  <c r="K15" i="7"/>
  <c r="O12" i="6"/>
  <c r="E69" i="6"/>
  <c r="K14" i="3"/>
  <c r="T14" i="3"/>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3" i="8" l="1"/>
  <c r="R15" i="3"/>
  <c r="S15" i="3" s="1"/>
  <c r="U15" i="3" s="1"/>
  <c r="J15" i="3" s="1"/>
  <c r="M15" i="3" s="1"/>
  <c r="G15" i="3" s="1"/>
  <c r="I16" i="16" s="1"/>
  <c r="L15" i="7"/>
  <c r="S16" i="16" s="1"/>
  <c r="I13" i="9"/>
  <c r="Q14" i="13"/>
  <c r="T14" i="8"/>
  <c r="R14" i="8"/>
  <c r="S14" i="8" s="1"/>
  <c r="U14" i="8" s="1"/>
  <c r="J14" i="8" s="1"/>
  <c r="N30" i="8" s="1"/>
  <c r="T12" i="6"/>
  <c r="I15" i="13"/>
  <c r="L13" i="8"/>
  <c r="T14" i="16" s="1"/>
  <c r="L13" i="3"/>
  <c r="P14" i="16" s="1"/>
  <c r="N30" i="3"/>
  <c r="M12" i="7"/>
  <c r="K12" i="3"/>
  <c r="L12" i="3" s="1"/>
  <c r="P13" i="16" s="1"/>
  <c r="T12" i="3"/>
  <c r="M14" i="13"/>
  <c r="T15" i="6"/>
  <c r="L13" i="6"/>
  <c r="R14" i="16" s="1"/>
  <c r="E14" i="9"/>
  <c r="L14" i="3"/>
  <c r="P15" i="16" s="1"/>
  <c r="T15" i="3"/>
  <c r="K12" i="6"/>
  <c r="M13" i="3"/>
  <c r="G13" i="3" s="1"/>
  <c r="I14" i="13" s="1"/>
  <c r="K15" i="6"/>
  <c r="R12" i="6"/>
  <c r="S12" i="6" s="1"/>
  <c r="U12" i="6" s="1"/>
  <c r="J12" i="6" s="1"/>
  <c r="M12" i="6" s="1"/>
  <c r="G12" i="6"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6"/>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Z14" i="13" l="1"/>
  <c r="Y16" i="13"/>
  <c r="Q15" i="9"/>
  <c r="R13" i="9"/>
  <c r="M14" i="8"/>
  <c r="G14" i="8" s="1"/>
  <c r="K15" i="16" s="1"/>
  <c r="N13" i="9"/>
  <c r="V14" i="13"/>
  <c r="L14" i="8"/>
  <c r="T15" i="16" s="1"/>
  <c r="X14" i="13"/>
  <c r="V15" i="13"/>
  <c r="P13" i="9"/>
  <c r="E13" i="9"/>
  <c r="N14" i="9"/>
  <c r="L15" i="6"/>
  <c r="R16"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I14" i="9" l="1"/>
  <c r="Q15" i="13"/>
  <c r="R14" i="9"/>
  <c r="Z15" i="13"/>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<sst xmlns="http://schemas.openxmlformats.org/spreadsheetml/2006/main" count="654" uniqueCount="141">
  <si>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</si>
  <si>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</si>
  <si>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</si>
  <si>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</si>
  <si>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</si>
  <si>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</si>
  <si>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</si>
  <si>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</si>
  <si>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</si>
  <si>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</si>
  <si>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</si>
  <si>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</si>
  <si>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</si>
  <si>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</si>
  <si>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</si>
  <si>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</si>
  <si>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</si>
  <si>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</si>
  <si>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</si>
  <si>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</si>
  <si>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</si>
  <si>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</si>
  <si>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</si>
  <si>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</si>
  <si>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</si>
  <si>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</si>
  <si>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</si>
  <si>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</si>
  <si>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</si>
  <si>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</si>
  <si>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</si>
  <si>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</si>
  <si>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</si>
  <si>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</si>
  <si>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</si>
  <si>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</si>
  <si>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</si>
  <si>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</si>
  <si>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</si>
  <si>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</si>
  <si>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</si>
  <si>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</si>
  <si>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</si>
  <si>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</si>
  <si>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</si>
  <si>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</si>
  <si>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</si>
  <si>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</si>
  <si>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</si>
  <si>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</si>
  <si>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</si>
  <si>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</si>
  <si>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</si>
  <si>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</si>
  <si>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</si>
  <si>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</si>
  <si>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</si>
  <si>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</si>
  <si>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</si>
  <si>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</si>
  <si>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</si>
  <si>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</si>
  <si>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</si>
  <si>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</si>
  <si>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</si>
  <si>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</si>
  <si>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</si>
  <si>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</si>
  <si>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</si>
  <si>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</si>
  <si>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</si>
  <si>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</si>
  <si>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</si>
  <si>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</si>
  <si>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</si>
  <si>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</si>
  <si>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</si>
  <si>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</si>
  <si>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</si>
  <si>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</si>
  <si>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</si>
  <si>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</si>
  <si>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</si>
  <si>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</si>
  <si>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</si>
  <si>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</si>
  <si>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</si>
  <si>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</si>
  <si>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</si>
  <si>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</si>
  <si>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</si>
  <si>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</si>
  <si>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</si>
  <si>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</si>
  <si>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</si>
  <si>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</si>
  <si>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</si>
  <si>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</si>
  <si>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</si>
  <si>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</si>
  <si>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</si>
  <si>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</si>
  <si>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</si>
  <si>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</si>
  <si>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</si>
  <si>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</si>
  <si>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</si>
  <si>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</si>
  <si>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</si>
  <si>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</si>
  <si>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</si>
  <si>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</si>
  <si>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</si>
  <si>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</si>
  <si>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</si>
  <si>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</si>
  <si>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</si>
  <si>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</si>
  <si>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</si>
  <si>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</si>
  <si>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</si>
  <si>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</si>
  <si>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</si>
  <si>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</si>
  <si>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</si>
  <si>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</si>
  <si>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</si>
  <si>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</si>
  <si>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</si>
  <si>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</si>
  <si>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</si>
  <si>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</si>
  <si>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</si>
  <si>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</si>
  <si>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</si>
  <si>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</si>
  <si>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Alger</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</si>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</sst>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Alger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N=668</c:v>
                </c:pt>
              </c:strCache>
            </c:strRef>
          </c:cat>
          <c:val>
            <c:numRef>
              <c:f>'Stacked 100%'!$B$7:$B$14</c:f>
              <c:numCache>
                <c:formatCode>0%</c:formatCode>
                <c:ptCount val="8"/>
                <c:pt idx="0">
                  <c:v>0</c:v>
                </c:pt>
                <c:pt idx="1">
                  <c:v>0</c:v>
                </c:pt>
                <c:pt idx="2">
                  <c:v>0</c:v>
                </c:pt>
                <c:pt idx="3">
                  <c:v>0</c:v>
                </c:pt>
                <c:pt idx="4">
                  <c:v>0</c:v>
                </c:pt>
                <c:pt idx="5">
                  <c:v>0</c:v>
                </c:pt>
                <c:pt idx="6">
                  <c:v>0</c:v>
                </c:pt>
                <c:pt idx="7">
                  <c:v>2.3952095808383235E-2</c:v>
                </c:pt>
              </c:numCache>
            </c:numRef>
          </c:val>
          <c:extLst>
            <c:ext xmlns:c16="http://schemas.microsoft.com/office/drawing/2014/chart" uri="{C3380CC4-5D6E-409C-BE32-E72D297353CC}">
              <c16:uniqueId val="{00000000-BCC5-45AA-9C8E-62CEABA96C2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N=668</c:v>
                </c:pt>
              </c:strCache>
            </c:strRef>
          </c:cat>
          <c:val>
            <c:numRef>
              <c:f>'Stacked 100%'!$C$7:$C$14</c:f>
              <c:numCache>
                <c:formatCode>0%</c:formatCode>
                <c:ptCount val="8"/>
                <c:pt idx="0">
                  <c:v>0</c:v>
                </c:pt>
                <c:pt idx="1">
                  <c:v>0</c:v>
                </c:pt>
                <c:pt idx="2">
                  <c:v>0</c:v>
                </c:pt>
                <c:pt idx="3">
                  <c:v>0</c:v>
                </c:pt>
                <c:pt idx="4">
                  <c:v>0</c:v>
                </c:pt>
                <c:pt idx="5">
                  <c:v>0</c:v>
                </c:pt>
                <c:pt idx="6">
                  <c:v>0</c:v>
                </c:pt>
                <c:pt idx="7">
                  <c:v>2.8443113772455089E-2</c:v>
                </c:pt>
              </c:numCache>
            </c:numRef>
          </c:val>
          <c:extLst>
            <c:ext xmlns:c16="http://schemas.microsoft.com/office/drawing/2014/chart" uri="{C3380CC4-5D6E-409C-BE32-E72D297353CC}">
              <c16:uniqueId val="{00000001-BCC5-45AA-9C8E-62CEABA96C2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N=668</c:v>
                </c:pt>
              </c:strCache>
            </c:strRef>
          </c:cat>
          <c:val>
            <c:numRef>
              <c:f>'Stacked 100%'!$H$7:$H$14</c:f>
              <c:numCache>
                <c:formatCode>0%</c:formatCode>
                <c:ptCount val="8"/>
                <c:pt idx="0">
                  <c:v>0</c:v>
                </c:pt>
                <c:pt idx="1">
                  <c:v>0</c:v>
                </c:pt>
                <c:pt idx="2">
                  <c:v>0</c:v>
                </c:pt>
                <c:pt idx="3">
                  <c:v>0</c:v>
                </c:pt>
                <c:pt idx="4">
                  <c:v>0</c:v>
                </c:pt>
                <c:pt idx="5">
                  <c:v>0</c:v>
                </c:pt>
                <c:pt idx="6">
                  <c:v>0</c:v>
                </c:pt>
                <c:pt idx="7">
                  <c:v>1.1653340026533757E-4</c:v>
                </c:pt>
              </c:numCache>
            </c:numRef>
          </c:val>
          <c:extLst>
            <c:ext xmlns:c16="http://schemas.microsoft.com/office/drawing/2014/chart" uri="{C3380CC4-5D6E-409C-BE32-E72D297353CC}">
              <c16:uniqueId val="{00000002-BCC5-45AA-9C8E-62CEABA96C2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N=668</c:v>
                </c:pt>
              </c:strCache>
            </c:strRef>
          </c:cat>
          <c:val>
            <c:numRef>
              <c:f>'Stacked 100%'!$I$7:$I$14</c:f>
              <c:numCache>
                <c:formatCode>0%</c:formatCode>
                <c:ptCount val="8"/>
                <c:pt idx="0">
                  <c:v>0</c:v>
                </c:pt>
                <c:pt idx="1">
                  <c:v>0</c:v>
                </c:pt>
                <c:pt idx="2">
                  <c:v>0</c:v>
                </c:pt>
                <c:pt idx="3">
                  <c:v>0</c:v>
                </c:pt>
                <c:pt idx="4">
                  <c:v>0</c:v>
                </c:pt>
                <c:pt idx="5">
                  <c:v>0</c:v>
                </c:pt>
                <c:pt idx="6">
                  <c:v>0.66666666666666663</c:v>
                </c:pt>
                <c:pt idx="7">
                  <c:v>0.86976047904191611</c:v>
                </c:pt>
              </c:numCache>
            </c:numRef>
          </c:val>
          <c:extLst>
            <c:ext xmlns:c16="http://schemas.microsoft.com/office/drawing/2014/chart" uri="{C3380CC4-5D6E-409C-BE32-E72D297353CC}">
              <c16:uniqueId val="{00000003-BCC5-45AA-9C8E-62CEABA96C2A}"/>
            </c:ext>
          </c:extLst>
        </c:ser>
        <c:dLbls>
          <c:showLegendKey val="0"/>
          <c:showVal val="0"/>
          <c:showCatName val="0"/>
          <c:showSerName val="0"/>
          <c:showPercent val="0"/>
          <c:showBubbleSize val="0"/>
        </c:dLbls>
        <c:gapWidth val="150"/>
        <c:overlap val="100"/>
        <c:axId val="148487552"/>
        <c:axId val="1499720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N=668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C5-45AA-9C8E-62CEABA96C2A}"/>
            </c:ext>
          </c:extLst>
        </c:ser>
        <c:dLbls>
          <c:showLegendKey val="0"/>
          <c:showVal val="0"/>
          <c:showCatName val="0"/>
          <c:showSerName val="0"/>
          <c:showPercent val="0"/>
          <c:showBubbleSize val="0"/>
        </c:dLbls>
        <c:gapWidth val="150"/>
        <c:overlap val="100"/>
        <c:axId val="150135168"/>
        <c:axId val="149973632"/>
      </c:barChart>
      <c:catAx>
        <c:axId val="1484875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49972096"/>
        <c:crosses val="autoZero"/>
        <c:auto val="1"/>
        <c:lblAlgn val="ctr"/>
        <c:lblOffset val="100"/>
        <c:noMultiLvlLbl val="0"/>
      </c:catAx>
      <c:valAx>
        <c:axId val="1499720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48487552"/>
        <c:crosses val="autoZero"/>
        <c:crossBetween val="between"/>
      </c:valAx>
      <c:valAx>
        <c:axId val="149973632"/>
        <c:scaling>
          <c:orientation val="minMax"/>
        </c:scaling>
        <c:delete val="1"/>
        <c:axPos val="t"/>
        <c:numFmt formatCode="0%" sourceLinked="1"/>
        <c:majorTickMark val="out"/>
        <c:minorTickMark val="none"/>
        <c:tickLblPos val="nextTo"/>
        <c:crossAx val="150135168"/>
        <c:crosses val="max"/>
        <c:crossBetween val="between"/>
      </c:valAx>
      <c:catAx>
        <c:axId val="150135168"/>
        <c:scaling>
          <c:orientation val="minMax"/>
        </c:scaling>
        <c:delete val="1"/>
        <c:axPos val="l"/>
        <c:numFmt formatCode="General" sourceLinked="1"/>
        <c:majorTickMark val="out"/>
        <c:minorTickMark val="none"/>
        <c:tickLblPos val="nextTo"/>
        <c:crossAx val="1499736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668</v>
      </c>
      <c r="C6" s="11">
        <v>581</v>
      </c>
      <c r="D6" s="11">
        <v>16</v>
      </c>
      <c r="E6" s="11">
        <v>19</v>
      </c>
      <c r="F6" s="11">
        <v>2</v>
      </c>
      <c r="G6" s="11"/>
      <c r="H6" s="11">
        <v>50</v>
      </c>
      <c r="I6" s="11"/>
      <c r="J6" s="91">
        <f>SUM(D6:I6)</f>
        <v>87</v>
      </c>
      <c r="K6" s="92"/>
    </row>
    <row r="7" spans="1:11" ht="15.75" customHeight="1" thickBot="1">
      <c r="A7" s="10" t="s">
        <v>8</v>
      </c>
      <c r="B7" s="11">
        <f t="shared" ref="B7:B15" si="0">SUM(C7:I7)+K7</f>
        <v>3</v>
      </c>
      <c r="C7" s="11">
        <v>2</v>
      </c>
      <c r="D7" s="11"/>
      <c r="E7" s="11"/>
      <c r="F7" s="11"/>
      <c r="G7" s="11"/>
      <c r="H7" s="11"/>
      <c r="I7" s="11"/>
      <c r="J7" s="91">
        <f t="shared" ref="J7:J15" si="1">SUM(D7:I7)</f>
        <v>0</v>
      </c>
      <c r="K7" s="92">
        <v>1</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579</v>
      </c>
      <c r="R7" s="42">
        <f t="shared" ref="R7:R15" si="5">SUM(N7:Q7)</f>
        <v>581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0</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0</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0</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0</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0</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Entry'!J6</f>
        <v>87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87</v>
      </c>
      <c r="P7" s="42">
        <f t="shared" ref="P7:P15" si="4">C7</f>
        <v>2</v>
      </c>
      <c r="Q7" s="42">
        <f>C6-C7</f>
        <v>579</v>
      </c>
      <c r="R7" s="42">
        <f t="shared" ref="R7:R15" si="5">SUM(N7:Q7)</f>
        <v>668</v>
      </c>
      <c r="S7" s="30">
        <f t="shared" ref="S7:S15" si="6">R7*((((N7*Q7)-(O7*P7))^2))</f>
        <v>20224368</v>
      </c>
      <c r="T7" s="30">
        <f t="shared" ref="T7:T15" si="7">(N7+O7)*(P7+Q7)*(N7+P7)*(O7+Q7)</f>
        <v>67328604</v>
      </c>
      <c r="U7" s="31">
        <f t="shared" ref="U7:U15" si="8">IF((S7&gt;0),S7/T7,"- -")</f>
        <v>0.3003829991781799</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8.6999999999999994E-2</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8.6999999999999994E-2</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8.6999999999999994E-2</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8.6999999999999994E-2</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8.6999999999999994E-2</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Alger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668</v>
      </c>
      <c r="D3" s="57">
        <f>'Data Entry'!C6</f>
        <v>581</v>
      </c>
      <c r="E3" s="57">
        <f>'Data Entry'!D6</f>
        <v>16</v>
      </c>
      <c r="F3" s="57">
        <f>'Data Entry'!E6</f>
        <v>19</v>
      </c>
      <c r="G3" s="57">
        <f>'Data Entry'!F6</f>
        <v>2</v>
      </c>
      <c r="H3" s="57">
        <f>'Data Entry'!G6</f>
        <v>0</v>
      </c>
      <c r="I3" s="57">
        <f>'Data Entry'!H6</f>
        <v>50</v>
      </c>
      <c r="J3" s="57">
        <f>'Data Entry'!I6</f>
        <v>0</v>
      </c>
      <c r="K3" s="57">
        <f>'Data Entry'!J6</f>
        <v>87</v>
      </c>
    </row>
    <row r="4" spans="2:11" ht="15" customHeight="1">
      <c r="B4" s="16" t="s">
        <v>8</v>
      </c>
      <c r="C4" s="1">
        <f>IF((C$3&gt;0),(1000*('Data Entry'!B7/'Data Entry'!B$6)), 0)</f>
        <v>4.4910179640718564</v>
      </c>
      <c r="D4" s="1">
        <f>IF((D$3&gt;0),(1000*('Data Entry'!C7/'Data Entry'!C$6)), 0)</f>
        <v>3.4423407917383821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Alger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Alger</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581</v>
      </c>
      <c r="D7" s="104">
        <f>'Data Entry'!D6</f>
        <v>16</v>
      </c>
      <c r="E7" s="105"/>
      <c r="F7" s="106">
        <f>'Data Entry'!E6</f>
        <v>19</v>
      </c>
      <c r="G7" s="105"/>
      <c r="H7" s="106">
        <f>'Data Entry'!F6</f>
        <v>2</v>
      </c>
      <c r="I7" s="105"/>
      <c r="J7" s="106">
        <f>'Data Entry'!G6</f>
        <v>0</v>
      </c>
      <c r="K7" s="105"/>
      <c r="L7" s="106">
        <f>'Data Entry'!H6</f>
        <v>50</v>
      </c>
      <c r="M7" s="105"/>
      <c r="N7" s="106">
        <f>'Data Entry'!I6</f>
        <v>0</v>
      </c>
      <c r="O7" s="105"/>
      <c r="P7" s="106">
        <f>'Data Entry'!J6</f>
        <v>87</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Alger</v>
      </c>
    </row>
    <row r="6" spans="1:12">
      <c r="A6" s="135" t="str">
        <f>CONCATENATE("Percentage of Minorities at Stages of the Juvenile Justice System, ", A5, " 2022")</f>
        <v>Percentage of Minorities at Stages of the Juvenile Justice System, County: Alger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6.6781609195402298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6.6781609195402298</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6.6781609195402298</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6.6781609195402298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6.6781609195402298</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6.6781609195402298</v>
      </c>
    </row>
    <row r="13" spans="1:12">
      <c r="A13" s="128" t="str">
        <f>CONCATENATE("Arrests, total N=", 'Data Entry'!B7)</f>
        <v>Arrests, total N=3</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0.66666666666666663</v>
      </c>
      <c r="K13" s="96" t="str">
        <f t="shared" si="0"/>
        <v>Arrests, total N=3</v>
      </c>
      <c r="L13">
        <f>I14/(SUM(B14:G14))</f>
        <v>6.6781609195402298</v>
      </c>
    </row>
    <row r="14" spans="1:12">
      <c r="A14" s="128" t="str">
        <f>CONCATENATE("Population, total N=", 'Data Entry'!B6)</f>
        <v>Population, total N=668</v>
      </c>
      <c r="B14" s="150">
        <f>'Data Entry'!D6/'Data Entry'!B6</f>
        <v>2.3952095808383235E-2</v>
      </c>
      <c r="C14" s="150">
        <f>'Data Entry'!E6/'Data Entry'!B6</f>
        <v>2.8443113772455089E-2</v>
      </c>
      <c r="D14" s="150">
        <f>'Data Entry'!F6/'Data Entry'!B6</f>
        <v>2.9940119760479044E-3</v>
      </c>
      <c r="E14" s="150">
        <f>'Data Entry'!G6/'Data Entry'!B6</f>
        <v>0</v>
      </c>
      <c r="F14" s="150">
        <f>'Data Entry'!H6/'Data Entry'!B6</f>
        <v>7.4850299401197598E-2</v>
      </c>
      <c r="G14" s="150">
        <f>'Data Entry'!I6/'Data Entry'!B6</f>
        <v>0</v>
      </c>
      <c r="H14" s="150">
        <f>SUM(D14:G14)/'Data Entry'!B6</f>
        <v>1.1653340026533757E-4</v>
      </c>
      <c r="I14" s="150">
        <f>'Data Entry'!C6/'Data Entry'!B6</f>
        <v>0.86976047904191611</v>
      </c>
      <c r="K14" s="96" t="str">
        <f t="shared" si="0"/>
        <v>Population, total N=668</v>
      </c>
      <c r="L14">
        <f>I14/(SUM(B14:G14))</f>
        <v>6.6781609195402298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Alger</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581</v>
      </c>
      <c r="D7" s="104">
        <f>'Data Entry'!D6</f>
        <v>16</v>
      </c>
      <c r="E7" s="105"/>
      <c r="F7" s="106">
        <f>'Data Entry'!E6</f>
        <v>19</v>
      </c>
      <c r="G7" s="105"/>
      <c r="H7" s="106">
        <f>'Data Entry'!F6</f>
        <v>2</v>
      </c>
      <c r="I7" s="105"/>
      <c r="J7" s="106">
        <f>'Data Entry'!J6</f>
        <v>87</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Entry'!D6</f>
        <v>16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16</v>
      </c>
      <c r="P7" s="42">
        <f t="shared" ref="P7:P15" si="2">C7</f>
        <v>2</v>
      </c>
      <c r="Q7" s="42">
        <f>C6-C7</f>
        <v>579</v>
      </c>
      <c r="R7" s="42">
        <f t="shared" ref="R7:R15" si="3">SUM(N7:Q7)</f>
        <v>597</v>
      </c>
      <c r="S7" s="30">
        <f t="shared" ref="S7:S15" si="4">R7*((((N7*Q7)-(O7*P7))^2))</f>
        <v>611328</v>
      </c>
      <c r="T7" s="30">
        <f t="shared" ref="T7:T15" si="5">(N7+O7)*(P7+Q7)*(N7+P7)*(O7+Q7)</f>
        <v>11062240</v>
      </c>
      <c r="U7" s="31">
        <f t="shared" ref="U7:U15" si="6">IF((S7&gt;0),S7/T7,"- -")</f>
        <v>5.5262586962495842E-2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2</v>
      </c>
      <c r="R8" s="42">
        <f t="shared" si="3"/>
        <v>2.0499999999999998</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1.6E-2</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1.6E-2</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1.6E-2</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1.6E-2</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1.6E-2</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Entry'!F6</f>
        <v>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v>
      </c>
      <c r="P7" s="42">
        <f t="shared" ref="P7:P15" si="4">C7</f>
        <v>2</v>
      </c>
      <c r="Q7" s="42">
        <f>C6-C7</f>
        <v>579</v>
      </c>
      <c r="R7" s="42">
        <f t="shared" ref="R7:R15" si="5">SUM(N7:Q7)</f>
        <v>583</v>
      </c>
      <c r="S7" s="30">
        <f t="shared" ref="S7:S15" si="6">R7*((((N7*Q7)-(O7*P7))^2))</f>
        <v>9328</v>
      </c>
      <c r="T7" s="30">
        <f t="shared" ref="T7:T15" si="7">(N7+O7)*(P7+Q7)*(N7+P7)*(O7+Q7)</f>
        <v>1350244</v>
      </c>
      <c r="U7" s="31">
        <f t="shared" ref="U7:U15" si="8">IF((S7&gt;0),S7/T7,"- -")</f>
        <v>6.9083810037296961E-3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2E-3</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2E-3</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2E-3</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2E-3</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2E-3</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Entry'!E6</f>
        <v>19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2</v>
      </c>
      <c r="Q7" s="42">
        <f>C6-C7</f>
        <v>579</v>
      </c>
      <c r="R7" s="42">
        <f t="shared" ref="R7:R15" si="5">SUM(N7:Q7)</f>
        <v>600</v>
      </c>
      <c r="S7" s="30">
        <f t="shared" ref="S7:S15" si="6">R7*((((N7*Q7)-(O7*P7))^2))</f>
        <v>866400</v>
      </c>
      <c r="T7" s="30">
        <f t="shared" ref="T7:T15" si="7">(N7+O7)*(P7+Q7)*(N7+P7)*(O7+Q7)</f>
        <v>13202644</v>
      </c>
      <c r="U7" s="31">
        <f t="shared" ref="U7:U15" si="8">IF((S7&gt;0),S7/T7,"- -")</f>
        <v>6.5623219106718325E-2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1.9E-2</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1.9E-2</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1.9E-2</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1.9E-2</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1.9E-2</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579</v>
      </c>
      <c r="R7" s="42">
        <f t="shared" ref="R7:R15" si="5">SUM(N7:Q7)</f>
        <v>581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0</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0</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0</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0</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0</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Alger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581</v>
      </c>
      <c r="D6" s="34"/>
      <c r="E6" s="33">
        <f>'Data Entry'!H6</f>
        <v>50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3.4423407917383821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50</v>
      </c>
      <c r="P7" s="42">
        <f t="shared" ref="P7:P15" si="4">C7</f>
        <v>2</v>
      </c>
      <c r="Q7" s="42">
        <f>C6-C7</f>
        <v>579</v>
      </c>
      <c r="R7" s="42">
        <f t="shared" ref="R7:R15" si="5">SUM(N7:Q7)</f>
        <v>631</v>
      </c>
      <c r="S7" s="30">
        <f t="shared" ref="S7:S15" si="6">R7*((((N7*Q7)-(O7*P7))^2))</f>
        <v>6310000</v>
      </c>
      <c r="T7" s="30">
        <f t="shared" ref="T7:T15" si="7">(N7+O7)*(P7+Q7)*(N7+P7)*(O7+Q7)</f>
        <v>36544900</v>
      </c>
      <c r="U7" s="31">
        <f t="shared" ref="U7:U15" si="8">IF((S7&gt;0),S7/T7,"- -")</f>
        <v>0.17266431157288706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0.58099999999999996</v>
      </c>
      <c r="D42" s="56">
        <f>E6/1000</f>
        <v>0.05</v>
      </c>
      <c r="E42" s="56">
        <f>MAX(C42:D42)</f>
        <v>0.58099999999999996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0.58099999999999996</v>
      </c>
      <c r="D48" s="56">
        <f>D42</f>
        <v>0.05</v>
      </c>
      <c r="E48" s="56">
        <f>MAX(C48:D48)</f>
        <v>0.58099999999999996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arrests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0.58099999999999996</v>
      </c>
      <c r="D54" s="56">
        <f>D48</f>
        <v>0.05</v>
      </c>
      <c r="E54" s="56">
        <f>MAX(C54:D54)</f>
        <v>0.58099999999999996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arrests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0.58099999999999996</v>
      </c>
      <c r="D60" s="56">
        <f>D54</f>
        <v>0.05</v>
      </c>
      <c r="E60" s="56">
        <f>MAX(C60:D60)</f>
        <v>0.58099999999999996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arrests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0.58099999999999996</v>
      </c>
      <c r="D66" s="56">
        <f>D60</f>
        <v>0.05</v>
      </c>
      <c r="E66" s="56">
        <f>MAX(C66:D66)</f>
        <v>0.58099999999999996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arrests</v>
      </c>
      <c r="C68" s="49">
        <f t="shared" si="12"/>
        <v>0.02</v>
      </c>
      <c r="D68" s="49">
        <f t="shared" si="12"/>
        <v>0</v>
      </c>
      <c r="E68" s="49">
        <f>MAX(C68:D68)</f>
        <v>0.02</v>
      </c>
      <c r="G68" s="1" t="str">
        <f>G62</f>
        <v>per 100 referrals</v>
      </c>
      <c r="L68" s="58">
        <f>IF(($E62&gt;0),L62,L61)</f>
        <v>100</v>
      </c>
      <c r="M68" s="58">
        <f>IF((B68=G68),1,2)</f>
        <v>2</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U47JMPN4QEAR-1806752177-30430</_dlc_DocId>
    <_dlc_DocIdUrl xmlns="ac3811b5-0f3e-49e2-ba69-f2ffa0c782af">
      <Url>https://michiganphi.sharepoint.com/sites/CMDMC/_layouts/15/DocIdRedir.aspx?ID=U47JMPN4QEAR-1806752177-30430</Url>
      <Description>U47JMPN4QEAR-1806752177-30430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85F2C6-DB32-42E0-B83B-411EE47578A2}">
  <ds:schemaRefs>
    <ds:schemaRef ds:uri="http://schemas.microsoft.com/sharepoint/v3/contenttype/forms"/>
  </ds:schemaRefs>
</ds:datastoreItem>
</file>

<file path=customXml/itemProps2.xml><?xml version="1.0" encoding="utf-8"?>
<ds:datastoreItem xmlns:ds="http://schemas.openxmlformats.org/officeDocument/2006/customXml" ds:itemID="{60D9293F-0D73-49EA-A04B-98B0255C31F5}"/>
</file>

<file path=customXml/itemProps3.xml><?xml version="1.0" encoding="utf-8"?>
<ds:datastoreItem xmlns:ds="http://schemas.openxmlformats.org/officeDocument/2006/customXml" ds:itemID="{5D8554D9-A266-40F3-AE00-AA53696EF98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FBD470F3-49C4-49C0-BD6C-BEABBD94B8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b193a78c-d92a-41d6-b738-5469a3d5296d</vt:lpwstr>
  </property>
</Properties>
</file>