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C233CBA6-3051-4AFD-8F60-564E5B500482}"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M66" i="8"/>
  <c r="F27" i="8"/>
  <c r="F27" i="5"/>
  <c r="M66" i="5"/>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6"/>
  <c r="L49" i="6" s="1"/>
  <c r="E44" i="6"/>
  <c r="B50" i="6"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C49" i="6"/>
  <c r="D49" i="6"/>
  <c r="B49" i="6"/>
  <c r="D23" i="10"/>
  <c r="C48" i="7"/>
  <c r="E42" i="7"/>
  <c r="C54" i="8"/>
  <c r="E48" i="8"/>
  <c r="H26" i="10"/>
  <c r="D26" i="10"/>
  <c r="I26" i="10"/>
  <c r="C26" i="10"/>
  <c r="E20" i="10"/>
  <c r="C20" i="10"/>
  <c r="G20" i="10"/>
  <c r="H20" i="10"/>
  <c r="D20" i="10"/>
  <c r="G23" i="10"/>
  <c r="G19" i="10"/>
  <c r="E44" i="7"/>
  <c r="H23" i="10"/>
  <c r="E22" i="10"/>
  <c r="E25" i="10"/>
  <c r="F20" i="10"/>
  <c r="L50" i="6"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5" i="5" s="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L56" i="8"/>
  <c r="B56" i="8"/>
  <c r="C57" i="8"/>
  <c r="D64" i="5"/>
  <c r="E64" i="5"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C63" i="8"/>
  <c r="D70" i="6"/>
  <c r="F14" i="6" s="1"/>
  <c r="C70" i="6"/>
  <c r="C70" i="3"/>
  <c r="D14" i="3" s="1"/>
  <c r="L63" i="8"/>
  <c r="L70" i="8" s="1"/>
  <c r="E63" i="3"/>
  <c r="C69" i="3" s="1"/>
  <c r="D15" i="3" s="1"/>
  <c r="L69" i="7"/>
  <c r="L70" i="3"/>
  <c r="L70" i="6"/>
  <c r="D63" i="8"/>
  <c r="E63" i="8" s="1"/>
  <c r="D69" i="8" s="1"/>
  <c r="D70" i="3"/>
  <c r="F13" i="3" s="1"/>
  <c r="D69" i="7"/>
  <c r="F15" i="7" s="1"/>
  <c r="E63" i="6"/>
  <c r="L69" i="6" s="1"/>
  <c r="Q10" i="3"/>
  <c r="Q10" i="4"/>
  <c r="Q9" i="4"/>
  <c r="B69" i="6"/>
  <c r="M69" i="6" s="1"/>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6" l="1"/>
  <c r="Q12" i="7"/>
  <c r="L69" i="3"/>
  <c r="Q12" i="3" s="1"/>
  <c r="E70" i="6"/>
  <c r="E69" i="7"/>
  <c r="D70" i="8"/>
  <c r="F13" i="8" s="1"/>
  <c r="Q15" i="7"/>
  <c r="Q13" i="8"/>
  <c r="Q14" i="3"/>
  <c r="E70" i="3"/>
  <c r="D14" i="6"/>
  <c r="B69" i="3"/>
  <c r="M69" i="3" s="1"/>
  <c r="D69" i="3"/>
  <c r="E69" i="3" s="1"/>
  <c r="O14" i="6"/>
  <c r="D12" i="3"/>
  <c r="D13" i="6"/>
  <c r="O13" i="6"/>
  <c r="D13" i="3"/>
  <c r="O13" i="3"/>
  <c r="F14" i="3"/>
  <c r="Q13" i="3"/>
  <c r="Q13" i="6"/>
  <c r="Q14" i="6"/>
  <c r="C69" i="6"/>
  <c r="D12" i="6" s="1"/>
  <c r="F12" i="7"/>
  <c r="O12" i="7"/>
  <c r="K12" i="7" s="1"/>
  <c r="O15" i="7"/>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3" i="8" l="1"/>
  <c r="K13" i="8" s="1"/>
  <c r="T15" i="7"/>
  <c r="R15" i="7"/>
  <c r="S15" i="7" s="1"/>
  <c r="U15" i="7" s="1"/>
  <c r="J15" i="7" s="1"/>
  <c r="E70" i="8"/>
  <c r="F14" i="8"/>
  <c r="O14" i="8"/>
  <c r="K14" i="8" s="1"/>
  <c r="D15" i="6"/>
  <c r="F35" i="3"/>
  <c r="R13" i="8"/>
  <c r="S13" i="8" s="1"/>
  <c r="U13" i="8" s="1"/>
  <c r="J13" i="8" s="1"/>
  <c r="M13" i="8" s="1"/>
  <c r="G13" i="8" s="1"/>
  <c r="K14" i="16" s="1"/>
  <c r="T12" i="7"/>
  <c r="T13" i="8"/>
  <c r="T13" i="3"/>
  <c r="R14" i="6"/>
  <c r="S14" i="6" s="1"/>
  <c r="U14" i="6" s="1"/>
  <c r="J14" i="6" s="1"/>
  <c r="M14" i="6" s="1"/>
  <c r="G14" i="6" s="1"/>
  <c r="M15" i="13" s="1"/>
  <c r="T13" i="6"/>
  <c r="R14" i="3"/>
  <c r="S14" i="3" s="1"/>
  <c r="U14" i="3" s="1"/>
  <c r="J14" i="3" s="1"/>
  <c r="M14" i="3" s="1"/>
  <c r="G14" i="3" s="1"/>
  <c r="I15" i="16" s="1"/>
  <c r="K14" i="6"/>
  <c r="K13" i="6"/>
  <c r="F12" i="3"/>
  <c r="O12" i="3"/>
  <c r="R12" i="3" s="1"/>
  <c r="S12" i="3" s="1"/>
  <c r="U12" i="3" s="1"/>
  <c r="J12" i="3" s="1"/>
  <c r="F32" i="3"/>
  <c r="F15" i="3"/>
  <c r="O15" i="3"/>
  <c r="K15" i="3" s="1"/>
  <c r="R13" i="6"/>
  <c r="S13" i="6" s="1"/>
  <c r="U13" i="6" s="1"/>
  <c r="J13" i="6" s="1"/>
  <c r="M13" i="6" s="1"/>
  <c r="G13" i="6" s="1"/>
  <c r="G13" i="9" s="1"/>
  <c r="K13" i="3"/>
  <c r="T14" i="6"/>
  <c r="R13" i="3"/>
  <c r="S13" i="3" s="1"/>
  <c r="U13" i="3" s="1"/>
  <c r="J13" i="3" s="1"/>
  <c r="R12" i="7"/>
  <c r="S12" i="7" s="1"/>
  <c r="U12" i="7" s="1"/>
  <c r="J12" i="7" s="1"/>
  <c r="L12" i="7" s="1"/>
  <c r="S13" i="16" s="1"/>
  <c r="K15" i="7"/>
  <c r="O12" i="6"/>
  <c r="E69" i="6"/>
  <c r="K14" i="3"/>
  <c r="T14" i="3"/>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I13" i="9"/>
  <c r="Q14" i="13"/>
  <c r="T14" i="8"/>
  <c r="R14" i="8"/>
  <c r="S14" i="8" s="1"/>
  <c r="U14" i="8" s="1"/>
  <c r="J14" i="8" s="1"/>
  <c r="N30" i="8" s="1"/>
  <c r="T12" i="6"/>
  <c r="I15" i="13"/>
  <c r="L13" i="8"/>
  <c r="T14" i="16" s="1"/>
  <c r="L13" i="3"/>
  <c r="P14" i="16" s="1"/>
  <c r="N30" i="3"/>
  <c r="M12" i="7"/>
  <c r="K12" i="3"/>
  <c r="L12" i="3" s="1"/>
  <c r="P13" i="16" s="1"/>
  <c r="T12" i="3"/>
  <c r="M14" i="13"/>
  <c r="T15" i="6"/>
  <c r="L13" i="6"/>
  <c r="R14" i="16" s="1"/>
  <c r="E14" i="9"/>
  <c r="L14" i="3"/>
  <c r="P15" i="16" s="1"/>
  <c r="T15" i="3"/>
  <c r="K12" i="6"/>
  <c r="M13" i="3"/>
  <c r="G13" i="3" s="1"/>
  <c r="I14" i="13" s="1"/>
  <c r="K15" i="6"/>
  <c r="R12" i="6"/>
  <c r="S12" i="6" s="1"/>
  <c r="U12" i="6" s="1"/>
  <c r="J12" i="6" s="1"/>
  <c r="M12" i="6" s="1"/>
  <c r="G12" i="6"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6"/>
  <c r="G12" i="13"/>
  <c r="G12" i="16"/>
  <c r="N9" i="9"/>
  <c r="P10" i="16"/>
  <c r="M14" i="7"/>
  <c r="N30" i="7"/>
  <c r="L14" i="7"/>
  <c r="S15" i="16" s="1"/>
  <c r="L8" i="7"/>
  <c r="S9" i="16" s="1"/>
  <c r="O13" i="9"/>
  <c r="M9" i="9"/>
  <c r="M10" i="9"/>
  <c r="O14" i="9"/>
  <c r="V10" i="13"/>
  <c r="Z14"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Y16" i="13" l="1"/>
  <c r="Q15" i="9"/>
  <c r="R13" i="9"/>
  <c r="M14" i="8"/>
  <c r="G14" i="8" s="1"/>
  <c r="K15" i="16" s="1"/>
  <c r="N13" i="9"/>
  <c r="V14" i="13"/>
  <c r="L14" i="8"/>
  <c r="T15" i="16" s="1"/>
  <c r="X14" i="13"/>
  <c r="V15" i="13"/>
  <c r="P13" i="9"/>
  <c r="E13" i="9"/>
  <c r="N14" i="9"/>
  <c r="L15" i="6"/>
  <c r="R16"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I14" i="9" l="1"/>
  <c r="Q15" i="13"/>
  <c r="R14" i="9"/>
  <c r="Z15" i="13"/>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<sst xmlns="http://schemas.openxmlformats.org/spreadsheetml/2006/main" count="654" uniqueCount="141">
  <si>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</si>
  <si>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</si>
  <si>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</si>
  <si>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</si>
  <si>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</si>
  <si>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</si>
  <si>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</si>
  <si>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</si>
  <si>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</si>
  <si>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</si>
  <si>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</si>
  <si>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</si>
  <si>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</si>
  <si>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</si>
  <si>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</si>
  <si>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</si>
  <si>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</si>
  <si>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</si>
  <si>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</si>
  <si>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</si>
  <si>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</si>
  <si>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</si>
  <si>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</si>
  <si>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</si>
  <si>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</si>
  <si>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</si>
  <si>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</si>
  <si>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</si>
  <si>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</si>
  <si>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</si>
  <si>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</si>
  <si>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</si>
  <si>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</si>
  <si>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</si>
  <si>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</si>
  <si>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</si>
  <si>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</si>
  <si>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</si>
  <si>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</si>
  <si>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</si>
  <si>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</si>
  <si>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</si>
  <si>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</si>
  <si>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</si>
  <si>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</si>
  <si>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</si>
  <si>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</si>
  <si>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</si>
  <si>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</si>
  <si>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</si>
  <si>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</si>
  <si>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</si>
  <si>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</si>
  <si>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</si>
  <si>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</si>
  <si>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</si>
  <si>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</si>
  <si>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</si>
  <si>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</si>
  <si>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</si>
  <si>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</si>
  <si>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</si>
  <si>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</si>
  <si>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</si>
  <si>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</si>
  <si>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</si>
  <si>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</si>
  <si>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</si>
  <si>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</si>
  <si>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</si>
  <si>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</si>
  <si>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</si>
  <si>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</si>
  <si>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</si>
  <si>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</si>
  <si>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</si>
  <si>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</si>
  <si>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</si>
  <si>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</si>
  <si>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</si>
  <si>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</si>
  <si>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</si>
  <si>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</si>
  <si>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</si>
  <si>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</si>
  <si>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</si>
  <si>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</si>
  <si>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</si>
  <si>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</si>
  <si>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</si>
  <si>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</si>
  <si>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</si>
  <si>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</si>
  <si>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</si>
  <si>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</si>
  <si>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</si>
  <si>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</si>
  <si>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</si>
  <si>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</si>
  <si>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</si>
  <si>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</si>
  <si>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</si>
  <si>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</si>
  <si>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</si>
  <si>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</si>
  <si>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</si>
  <si>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</si>
  <si>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</si>
  <si>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</si>
  <si>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</si>
  <si>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</si>
  <si>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</si>
  <si>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</si>
  <si>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</si>
  <si>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</si>
  <si>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</si>
  <si>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</si>
  <si>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</si>
  <si>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</si>
  <si>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</si>
  <si>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</si>
  <si>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</si>
  <si>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</si>
  <si>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</si>
  <si>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</si>
  <si>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</si>
  <si>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</si>
  <si>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</si>
  <si>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</si>
  <si>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</si>
  <si>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</si>
  <si>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</si>
  <si>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</si>
  <si>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</si>
  <si>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</si>
  <si>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</si>
  <si>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</si>
  <si>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Alger</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</si>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</sst>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Alger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N=1</c:v>
                </c:pt>
                <c:pt idx="5">
                  <c:v>Referrals, total N=7</c:v>
                </c:pt>
                <c:pt idx="6">
                  <c:v>Arrests, total N=6</c:v>
                </c:pt>
                <c:pt idx="7">
                  <c:v>Population, total N=584</c:v>
                </c:pt>
              </c:strCache>
            </c:strRef>
          </c:cat>
          <c:val>
            <c:numRef>
              <c:f>'Stacked 100%'!$B$7:$B$14</c:f>
              <c:numCache>
                <c:formatCode>0%</c:formatCode>
                <c:ptCount val="8"/>
                <c:pt idx="0">
                  <c:v>0</c:v>
                </c:pt>
                <c:pt idx="1">
                  <c:v>0</c:v>
                </c:pt>
                <c:pt idx="2">
                  <c:v>0</c:v>
                </c:pt>
                <c:pt idx="3">
                  <c:v>0</c:v>
                </c:pt>
                <c:pt idx="4">
                  <c:v>0</c:v>
                </c:pt>
                <c:pt idx="5">
                  <c:v>0</c:v>
                </c:pt>
                <c:pt idx="6">
                  <c:v>0</c:v>
                </c:pt>
                <c:pt idx="7">
                  <c:v>2.3972602739726026E-2</c:v>
                </c:pt>
              </c:numCache>
            </c:numRef>
          </c:val>
          <c:extLst>
            <c:ext xmlns:c16="http://schemas.microsoft.com/office/drawing/2014/chart" uri="{C3380CC4-5D6E-409C-BE32-E72D297353CC}">
              <c16:uniqueId val="{00000000-BCC5-45AA-9C8E-62CEABA96C2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N=1</c:v>
                </c:pt>
                <c:pt idx="5">
                  <c:v>Referrals, total N=7</c:v>
                </c:pt>
                <c:pt idx="6">
                  <c:v>Arrests, total N=6</c:v>
                </c:pt>
                <c:pt idx="7">
                  <c:v>Population, total N=584</c:v>
                </c:pt>
              </c:strCache>
            </c:strRef>
          </c:cat>
          <c:val>
            <c:numRef>
              <c:f>'Stacked 100%'!$C$7:$C$14</c:f>
              <c:numCache>
                <c:formatCode>0%</c:formatCode>
                <c:ptCount val="8"/>
                <c:pt idx="0">
                  <c:v>0</c:v>
                </c:pt>
                <c:pt idx="1">
                  <c:v>0</c:v>
                </c:pt>
                <c:pt idx="2">
                  <c:v>0</c:v>
                </c:pt>
                <c:pt idx="3">
                  <c:v>0</c:v>
                </c:pt>
                <c:pt idx="4">
                  <c:v>0</c:v>
                </c:pt>
                <c:pt idx="5">
                  <c:v>0</c:v>
                </c:pt>
                <c:pt idx="6">
                  <c:v>0</c:v>
                </c:pt>
                <c:pt idx="7">
                  <c:v>3.2534246575342464E-2</c:v>
                </c:pt>
              </c:numCache>
            </c:numRef>
          </c:val>
          <c:extLst>
            <c:ext xmlns:c16="http://schemas.microsoft.com/office/drawing/2014/chart" uri="{C3380CC4-5D6E-409C-BE32-E72D297353CC}">
              <c16:uniqueId val="{00000001-BCC5-45AA-9C8E-62CEABA96C2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N=4</c:v>
                </c:pt>
                <c:pt idx="4">
                  <c:v>Detentions, total N=1</c:v>
                </c:pt>
                <c:pt idx="5">
                  <c:v>Referrals, total N=7</c:v>
                </c:pt>
                <c:pt idx="6">
                  <c:v>Arrests, total N=6</c:v>
                </c:pt>
                <c:pt idx="7">
                  <c:v>Population, total N=584</c:v>
                </c:pt>
              </c:strCache>
            </c:strRef>
          </c:cat>
          <c:val>
            <c:numRef>
              <c:f>'Stacked 100%'!$H$7:$H$14</c:f>
              <c:numCache>
                <c:formatCode>0%</c:formatCode>
                <c:ptCount val="8"/>
                <c:pt idx="0">
                  <c:v>0</c:v>
                </c:pt>
                <c:pt idx="1">
                  <c:v>0</c:v>
                </c:pt>
                <c:pt idx="2">
                  <c:v>0</c:v>
                </c:pt>
                <c:pt idx="3">
                  <c:v>0</c:v>
                </c:pt>
                <c:pt idx="4">
                  <c:v>0</c:v>
                </c:pt>
                <c:pt idx="5">
                  <c:v>0</c:v>
                </c:pt>
                <c:pt idx="6">
                  <c:v>0</c:v>
                </c:pt>
                <c:pt idx="7">
                  <c:v>1.3487521110902608E-4</c:v>
                </c:pt>
              </c:numCache>
            </c:numRef>
          </c:val>
          <c:extLst>
            <c:ext xmlns:c16="http://schemas.microsoft.com/office/drawing/2014/chart" uri="{C3380CC4-5D6E-409C-BE32-E72D297353CC}">
              <c16:uniqueId val="{00000002-BCC5-45AA-9C8E-62CEABA96C2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N=1</c:v>
                </c:pt>
                <c:pt idx="5">
                  <c:v>Referrals, total N=7</c:v>
                </c:pt>
                <c:pt idx="6">
                  <c:v>Arrests, total N=6</c:v>
                </c:pt>
                <c:pt idx="7">
                  <c:v>Population, total N=584</c:v>
                </c:pt>
              </c:strCache>
            </c:strRef>
          </c:cat>
          <c:val>
            <c:numRef>
              <c:f>'Stacked 100%'!$I$7:$I$14</c:f>
              <c:numCache>
                <c:formatCode>0%</c:formatCode>
                <c:ptCount val="8"/>
                <c:pt idx="0">
                  <c:v>0</c:v>
                </c:pt>
                <c:pt idx="1">
                  <c:v>0</c:v>
                </c:pt>
                <c:pt idx="2">
                  <c:v>1</c:v>
                </c:pt>
                <c:pt idx="3">
                  <c:v>1</c:v>
                </c:pt>
                <c:pt idx="4">
                  <c:v>1</c:v>
                </c:pt>
                <c:pt idx="5">
                  <c:v>1</c:v>
                </c:pt>
                <c:pt idx="6">
                  <c:v>1</c:v>
                </c:pt>
                <c:pt idx="7">
                  <c:v>0.86472602739726023</c:v>
                </c:pt>
              </c:numCache>
            </c:numRef>
          </c:val>
          <c:extLst>
            <c:ext xmlns:c16="http://schemas.microsoft.com/office/drawing/2014/chart" uri="{C3380CC4-5D6E-409C-BE32-E72D297353CC}">
              <c16:uniqueId val="{00000003-BCC5-45AA-9C8E-62CEABA96C2A}"/>
            </c:ext>
          </c:extLst>
        </c:ser>
        <c:dLbls>
          <c:showLegendKey val="0"/>
          <c:showVal val="0"/>
          <c:showCatName val="0"/>
          <c:showSerName val="0"/>
          <c:showPercent val="0"/>
          <c:showBubbleSize val="0"/>
        </c:dLbls>
        <c:gapWidth val="150"/>
        <c:overlap val="100"/>
        <c:axId val="148487552"/>
        <c:axId val="1499720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N=4</c:v>
                </c:pt>
                <c:pt idx="4">
                  <c:v>Detentions, total N=1</c:v>
                </c:pt>
                <c:pt idx="5">
                  <c:v>Referrals, total N=7</c:v>
                </c:pt>
                <c:pt idx="6">
                  <c:v>Arrests, total N=6</c:v>
                </c:pt>
                <c:pt idx="7">
                  <c:v>Population, total N=584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C5-45AA-9C8E-62CEABA96C2A}"/>
            </c:ext>
          </c:extLst>
        </c:ser>
        <c:dLbls>
          <c:showLegendKey val="0"/>
          <c:showVal val="0"/>
          <c:showCatName val="0"/>
          <c:showSerName val="0"/>
          <c:showPercent val="0"/>
          <c:showBubbleSize val="0"/>
        </c:dLbls>
        <c:gapWidth val="150"/>
        <c:overlap val="100"/>
        <c:axId val="150135168"/>
        <c:axId val="149973632"/>
      </c:barChart>
      <c:catAx>
        <c:axId val="1484875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49972096"/>
        <c:crosses val="autoZero"/>
        <c:auto val="1"/>
        <c:lblAlgn val="ctr"/>
        <c:lblOffset val="100"/>
        <c:noMultiLvlLbl val="0"/>
      </c:catAx>
      <c:valAx>
        <c:axId val="1499720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48487552"/>
        <c:crosses val="autoZero"/>
        <c:crossBetween val="between"/>
      </c:valAx>
      <c:valAx>
        <c:axId val="149973632"/>
        <c:scaling>
          <c:orientation val="minMax"/>
        </c:scaling>
        <c:delete val="1"/>
        <c:axPos val="t"/>
        <c:numFmt formatCode="0%" sourceLinked="1"/>
        <c:majorTickMark val="out"/>
        <c:minorTickMark val="none"/>
        <c:tickLblPos val="nextTo"/>
        <c:crossAx val="150135168"/>
        <c:crosses val="max"/>
        <c:crossBetween val="between"/>
      </c:valAx>
      <c:catAx>
        <c:axId val="150135168"/>
        <c:scaling>
          <c:orientation val="minMax"/>
        </c:scaling>
        <c:delete val="1"/>
        <c:axPos val="l"/>
        <c:numFmt formatCode="General" sourceLinked="1"/>
        <c:majorTickMark val="out"/>
        <c:minorTickMark val="none"/>
        <c:tickLblPos val="nextTo"/>
        <c:crossAx val="1499736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584</v>
      </c>
      <c r="C6" s="11">
        <v>505</v>
      </c>
      <c r="D6" s="11">
        <v>14</v>
      </c>
      <c r="E6" s="11">
        <v>19</v>
      </c>
      <c r="F6" s="11">
        <v>2</v>
      </c>
      <c r="G6" s="11"/>
      <c r="H6" s="11">
        <v>44</v>
      </c>
      <c r="I6" s="11"/>
      <c r="J6" s="91">
        <f>SUM(D6:I6)</f>
        <v>79</v>
      </c>
      <c r="K6" s="92"/>
    </row>
    <row r="7" spans="1:11" ht="15.75" customHeight="1" thickBot="1" x14ac:dyDescent="0.25">
      <c r="A7" s="10" t="s">
        <v>8</v>
      </c>
      <c r="B7" s="11">
        <f t="shared" ref="B7:B15" si="0">SUM(C7:I7)+K7</f>
        <v>6</v>
      </c>
      <c r="C7" s="11">
        <v>6</v>
      </c>
      <c r="D7" s="11"/>
      <c r="E7" s="11"/>
      <c r="F7" s="11"/>
      <c r="G7" s="11"/>
      <c r="H7" s="11"/>
      <c r="I7" s="11"/>
      <c r="J7" s="91">
        <f t="shared" ref="J7:J15" si="1">SUM(D7:I7)</f>
        <v>0</v>
      </c>
      <c r="K7" s="92"/>
    </row>
    <row r="8" spans="1:11" ht="15.75" customHeight="1" thickBot="1" x14ac:dyDescent="0.25">
      <c r="A8" s="10" t="s">
        <v>9</v>
      </c>
      <c r="B8" s="11">
        <f t="shared" si="0"/>
        <v>7</v>
      </c>
      <c r="C8" s="11">
        <v>7</v>
      </c>
      <c r="D8" s="11"/>
      <c r="E8" s="11"/>
      <c r="F8" s="11"/>
      <c r="G8" s="11"/>
      <c r="H8" s="11"/>
      <c r="I8" s="11"/>
      <c r="J8" s="91">
        <f t="shared" si="1"/>
        <v>0</v>
      </c>
      <c r="K8" s="92"/>
    </row>
    <row r="9" spans="1:11" ht="15.75" customHeight="1" thickBot="1" x14ac:dyDescent="0.25">
      <c r="A9" s="10" t="s">
        <v>10</v>
      </c>
      <c r="B9" s="11">
        <f t="shared" si="0"/>
        <v>2</v>
      </c>
      <c r="C9" s="11">
        <v>2</v>
      </c>
      <c r="D9" s="11"/>
      <c r="E9" s="11"/>
      <c r="F9" s="11"/>
      <c r="G9" s="11"/>
      <c r="H9" s="11"/>
      <c r="I9" s="11"/>
      <c r="J9" s="91">
        <f t="shared" si="1"/>
        <v>0</v>
      </c>
      <c r="K9" s="92"/>
    </row>
    <row r="10" spans="1:11" ht="15.75" customHeight="1" thickBot="1" x14ac:dyDescent="0.25">
      <c r="A10" s="10" t="s">
        <v>11</v>
      </c>
      <c r="B10" s="11">
        <f t="shared" si="0"/>
        <v>1</v>
      </c>
      <c r="C10" s="11">
        <v>1</v>
      </c>
      <c r="D10" s="11"/>
      <c r="E10" s="11"/>
      <c r="F10" s="11"/>
      <c r="G10" s="11"/>
      <c r="H10" s="11"/>
      <c r="I10" s="11"/>
      <c r="J10" s="91">
        <f t="shared" si="1"/>
        <v>0</v>
      </c>
      <c r="K10" s="92"/>
    </row>
    <row r="11" spans="1:11" ht="15.75" customHeight="1" thickBot="1" x14ac:dyDescent="0.25">
      <c r="A11" s="10" t="s">
        <v>12</v>
      </c>
      <c r="B11" s="11">
        <f t="shared" si="0"/>
        <v>4</v>
      </c>
      <c r="C11" s="11">
        <v>4</v>
      </c>
      <c r="D11" s="11"/>
      <c r="E11" s="11"/>
      <c r="F11" s="11"/>
      <c r="G11" s="11"/>
      <c r="H11" s="11"/>
      <c r="I11" s="11"/>
      <c r="J11" s="91">
        <f t="shared" si="1"/>
        <v>0</v>
      </c>
      <c r="K11" s="92"/>
    </row>
    <row r="12" spans="1:11" ht="15.75" customHeight="1" thickBot="1" x14ac:dyDescent="0.25">
      <c r="A12" s="10" t="s">
        <v>13</v>
      </c>
      <c r="B12" s="11">
        <f t="shared" si="0"/>
        <v>4</v>
      </c>
      <c r="C12" s="11">
        <v>4</v>
      </c>
      <c r="D12" s="11"/>
      <c r="E12" s="11"/>
      <c r="F12" s="11"/>
      <c r="G12" s="11"/>
      <c r="H12" s="11"/>
      <c r="I12" s="11"/>
      <c r="J12" s="91">
        <f t="shared" si="1"/>
        <v>0</v>
      </c>
      <c r="K12" s="92"/>
    </row>
    <row r="13" spans="1:11" ht="15.75" customHeight="1" thickBot="1" x14ac:dyDescent="0.25">
      <c r="A13" s="10" t="s">
        <v>133</v>
      </c>
      <c r="B13" s="11">
        <f t="shared" si="0"/>
        <v>4</v>
      </c>
      <c r="C13" s="11">
        <v>4</v>
      </c>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499</v>
      </c>
      <c r="R7" s="42">
        <f t="shared" ref="R7:R15" si="5">SUM(N7:Q7)</f>
        <v>505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116.66666666666667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0</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0</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0</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0</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0</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Entry'!J6</f>
        <v>79</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79</v>
      </c>
      <c r="P7" s="42">
        <f t="shared" ref="P7:P15" si="4">C7</f>
        <v>6</v>
      </c>
      <c r="Q7" s="42">
        <f>C6-C7</f>
        <v>499</v>
      </c>
      <c r="R7" s="42">
        <f t="shared" ref="R7:R15" si="5">SUM(N7:Q7)</f>
        <v>584</v>
      </c>
      <c r="S7" s="30">
        <f t="shared" ref="S7:S15" si="6">R7*((((N7*Q7)-(O7*P7))^2))</f>
        <v>131210784</v>
      </c>
      <c r="T7" s="30">
        <f t="shared" ref="T7:T15" si="7">(N7+O7)*(P7+Q7)*(N7+P7)*(O7+Q7)</f>
        <v>138355860</v>
      </c>
      <c r="U7" s="31">
        <f t="shared" ref="U7:U15" si="8">IF((S7&gt;0),S7/T7,"- -")</f>
        <v>0.9483572578711158</v>
      </c>
    </row>
    <row r="8" spans="2:21" ht="18" customHeight="1" x14ac:dyDescent="0.25">
      <c r="B8" s="32" t="str">
        <f>'Data Entry'!A8</f>
        <v>3. Refer to Juvenile Court</v>
      </c>
      <c r="C8" s="33">
        <f>'Data Entry'!C8</f>
        <v>7</v>
      </c>
      <c r="D8" s="34">
        <f>IF((AND(C67&gt;0,C8&gt;0)),(C8/C67),0)</f>
        <v>116.66666666666667</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7.9000000000000001E-2</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7.9000000000000001E-2</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7.9000000000000001E-2</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7.9000000000000001E-2</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7.9000000000000001E-2</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Alger</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584</v>
      </c>
      <c r="D3" s="57">
        <f>'Data Entry'!C6</f>
        <v>505</v>
      </c>
      <c r="E3" s="57">
        <f>'Data Entry'!D6</f>
        <v>14</v>
      </c>
      <c r="F3" s="57">
        <f>'Data Entry'!E6</f>
        <v>19</v>
      </c>
      <c r="G3" s="57">
        <f>'Data Entry'!F6</f>
        <v>2</v>
      </c>
      <c r="H3" s="57">
        <f>'Data Entry'!G6</f>
        <v>0</v>
      </c>
      <c r="I3" s="57">
        <f>'Data Entry'!H6</f>
        <v>44</v>
      </c>
      <c r="J3" s="57">
        <f>'Data Entry'!I6</f>
        <v>0</v>
      </c>
      <c r="K3" s="57">
        <f>'Data Entry'!J6</f>
        <v>79</v>
      </c>
    </row>
    <row r="4" spans="2:11" ht="15" customHeight="1" x14ac:dyDescent="0.25">
      <c r="B4" s="16" t="s">
        <v>8</v>
      </c>
      <c r="C4" s="1">
        <f>IF((C$3&gt;0),(1000*('Data Entry'!B7/'Data Entry'!B$6)), 0)</f>
        <v>10.273972602739725</v>
      </c>
      <c r="D4" s="1">
        <f>IF((D$3&gt;0),(1000*('Data Entry'!C7/'Data Entry'!C$6)), 0)</f>
        <v>11.881188118811881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11.986301369863012</v>
      </c>
      <c r="D5" s="1">
        <f>IF((D$3&gt;0),(1000*('Data Entry'!C8/'Data Entry'!C$6)), 0)</f>
        <v>13.861386138613861</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3.4246575342465753</v>
      </c>
      <c r="D6" s="1">
        <f>IF((D$3&gt;0),(1000*('Data Entry'!C9/'Data Entry'!C$6)), 0)</f>
        <v>3.9603960396039604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1.7123287671232876</v>
      </c>
      <c r="D7" s="1">
        <f>IF((D$3&gt;0),(1000*('Data Entry'!C10/'Data Entry'!C$6)), 0)</f>
        <v>1.9801980198019802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6.8493150684931505</v>
      </c>
      <c r="D8" s="1">
        <f>IF((D$3&gt;0),(1000*('Data Entry'!C11/'Data Entry'!C$6)), 0)</f>
        <v>7.9207920792079207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6.8493150684931505</v>
      </c>
      <c r="D9" s="1">
        <f>IF((D$3&gt;0),(1000*('Data Entry'!C12/'Data Entry'!C$6)), 0)</f>
        <v>7.9207920792079207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6.8493150684931505</v>
      </c>
      <c r="D10" s="1">
        <f>IF((D$3&gt;0),(1000*('Data Entry'!C13/'Data Entry'!C$6)), 0)</f>
        <v>7.9207920792079207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Alger</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Alger</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505</v>
      </c>
      <c r="D7" s="105">
        <f>'Data Entry'!D6</f>
        <v>14</v>
      </c>
      <c r="E7" s="106"/>
      <c r="F7" s="107">
        <f>'Data Entry'!E6</f>
        <v>19</v>
      </c>
      <c r="G7" s="106"/>
      <c r="H7" s="107">
        <f>'Data Entry'!F6</f>
        <v>2</v>
      </c>
      <c r="I7" s="106"/>
      <c r="J7" s="107">
        <f>'Data Entry'!G6</f>
        <v>0</v>
      </c>
      <c r="K7" s="106"/>
      <c r="L7" s="107">
        <f>'Data Entry'!H6</f>
        <v>44</v>
      </c>
      <c r="M7" s="106"/>
      <c r="N7" s="107">
        <f>'Data Entry'!I6</f>
        <v>0</v>
      </c>
      <c r="O7" s="106"/>
      <c r="P7" s="107">
        <f>'Data Entry'!J6</f>
        <v>79</v>
      </c>
      <c r="Q7" s="108"/>
    </row>
    <row r="8" spans="2:26" s="1" customFormat="1" ht="15" customHeight="1" x14ac:dyDescent="0.3">
      <c r="B8" s="149" t="s">
        <v>8</v>
      </c>
      <c r="C8" s="104">
        <f>'Data Entry'!C7</f>
        <v>6</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7</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2</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4</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Alger</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Alger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6.3924050632911396</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6.3924050632911396</v>
      </c>
    </row>
    <row r="9" spans="1:12" x14ac:dyDescent="0.2">
      <c r="A9" s="132" t="str">
        <f>CONCATENATE("Delinquent Findings, total N=", 'Data Entry'!B12)</f>
        <v>Delinquent Findings, total N=4</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N=4</v>
      </c>
      <c r="L9">
        <f>I14/(SUM(B14:G14))</f>
        <v>6.3924050632911396</v>
      </c>
    </row>
    <row r="10" spans="1:12" x14ac:dyDescent="0.2">
      <c r="A10" s="132" t="str">
        <f>CONCATENATE("Petitions, total N=", 'Data Entry'!B11)</f>
        <v>Petitions, total N=4</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N=4</v>
      </c>
      <c r="L10">
        <f>I14/(SUM(B14:G14))</f>
        <v>6.3924050632911396</v>
      </c>
    </row>
    <row r="11" spans="1:12" x14ac:dyDescent="0.2">
      <c r="A11" s="132" t="str">
        <f>CONCATENATE("Detentions, total N=", 'Data Entry'!B10)</f>
        <v>Detentions, total N=1</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N=1</v>
      </c>
      <c r="L11">
        <f>I14/(SUM(B14:G14))</f>
        <v>6.3924050632911396</v>
      </c>
    </row>
    <row r="12" spans="1:12" x14ac:dyDescent="0.2">
      <c r="A12" s="132" t="str">
        <f>CONCATENATE("Referrals, total N=", 'Data Entry'!B8)</f>
        <v>Referrals, total N=7</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1</v>
      </c>
      <c r="K12" s="97" t="str">
        <f t="shared" si="0"/>
        <v>Referrals, total N=7</v>
      </c>
      <c r="L12">
        <f>I14/(SUM(B14:G14))</f>
        <v>6.3924050632911396</v>
      </c>
    </row>
    <row r="13" spans="1:12" x14ac:dyDescent="0.2">
      <c r="A13" s="132" t="str">
        <f>CONCATENATE("Arrests, total N=", 'Data Entry'!B7)</f>
        <v>Arrests, total N=6</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N=6</v>
      </c>
      <c r="L13">
        <f>I14/(SUM(B14:G14))</f>
        <v>6.3924050632911396</v>
      </c>
    </row>
    <row r="14" spans="1:12" x14ac:dyDescent="0.2">
      <c r="A14" s="132" t="str">
        <f>CONCATENATE("Population, total N=", 'Data Entry'!B6)</f>
        <v>Population, total N=584</v>
      </c>
      <c r="B14" s="157">
        <f>'Data Entry'!D6/'Data Entry'!B6</f>
        <v>2.3972602739726026E-2</v>
      </c>
      <c r="C14" s="157">
        <f>'Data Entry'!E6/'Data Entry'!B6</f>
        <v>3.2534246575342464E-2</v>
      </c>
      <c r="D14" s="157">
        <f>'Data Entry'!F6/'Data Entry'!B6</f>
        <v>3.4246575342465752E-3</v>
      </c>
      <c r="E14" s="157">
        <f>'Data Entry'!G6/'Data Entry'!B6</f>
        <v>0</v>
      </c>
      <c r="F14" s="157">
        <f>'Data Entry'!H6/'Data Entry'!B6</f>
        <v>7.5342465753424653E-2</v>
      </c>
      <c r="G14" s="157">
        <f>'Data Entry'!I6/'Data Entry'!B6</f>
        <v>0</v>
      </c>
      <c r="H14" s="157">
        <f>SUM(D14:G14)/'Data Entry'!B6</f>
        <v>1.3487521110902608E-4</v>
      </c>
      <c r="I14" s="157">
        <f>'Data Entry'!C6/'Data Entry'!B6</f>
        <v>0.86472602739726023</v>
      </c>
      <c r="K14" s="97" t="str">
        <f t="shared" si="0"/>
        <v>Population, total N=584</v>
      </c>
      <c r="L14">
        <f>I14/(SUM(B14:G14))</f>
        <v>6.3924050632911396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Alger</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505</v>
      </c>
      <c r="D7" s="105">
        <f>'Data Entry'!D6</f>
        <v>14</v>
      </c>
      <c r="E7" s="106"/>
      <c r="F7" s="107">
        <f>'Data Entry'!E6</f>
        <v>19</v>
      </c>
      <c r="G7" s="106"/>
      <c r="H7" s="107">
        <f>'Data Entry'!F6</f>
        <v>2</v>
      </c>
      <c r="I7" s="106"/>
      <c r="J7" s="107">
        <f>'Data Entry'!J6</f>
        <v>79</v>
      </c>
      <c r="K7" s="108"/>
    </row>
    <row r="8" spans="2:30" s="1" customFormat="1" ht="15" customHeight="1" x14ac:dyDescent="0.3">
      <c r="B8" s="125" t="s">
        <v>8</v>
      </c>
      <c r="C8" s="104">
        <f>'Data Entry'!C7</f>
        <v>6</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7</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2</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4</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Entry'!D6</f>
        <v>14</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14</v>
      </c>
      <c r="P7" s="42">
        <f t="shared" ref="P7:P15" si="2">C7</f>
        <v>6</v>
      </c>
      <c r="Q7" s="42">
        <f>C6-C7</f>
        <v>499</v>
      </c>
      <c r="R7" s="42">
        <f t="shared" ref="R7:R15" si="3">SUM(N7:Q7)</f>
        <v>519</v>
      </c>
      <c r="S7" s="30">
        <f t="shared" ref="S7:S15" si="4">R7*((((N7*Q7)-(O7*P7))^2))</f>
        <v>3662064</v>
      </c>
      <c r="T7" s="30">
        <f t="shared" ref="T7:T15" si="5">(N7+O7)*(P7+Q7)*(N7+P7)*(O7+Q7)</f>
        <v>21761460</v>
      </c>
      <c r="U7" s="31">
        <f t="shared" ref="U7:U15" si="6">IF((S7&gt;0),S7/T7,"- -")</f>
        <v>0.16828209136703143</v>
      </c>
    </row>
    <row r="8" spans="2:21" ht="18" customHeight="1" x14ac:dyDescent="0.25">
      <c r="B8" s="32" t="str">
        <f>'Data Entry'!A8</f>
        <v>3. Refer to Juvenile Court</v>
      </c>
      <c r="C8" s="33">
        <f>'Data Entry'!C8</f>
        <v>7</v>
      </c>
      <c r="D8" s="34">
        <f>IF((AND(C67&gt;0,C8&gt;0)),(C8/C67),0)</f>
        <v>116.66666666666667</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7</v>
      </c>
      <c r="Q8" s="42">
        <f>(C$67*L67)-C8</f>
        <v>-1</v>
      </c>
      <c r="R8" s="42">
        <f t="shared" si="3"/>
        <v>6.05</v>
      </c>
      <c r="S8" s="30">
        <f t="shared" si="4"/>
        <v>0.74112500000000014</v>
      </c>
      <c r="T8" s="30">
        <f t="shared" si="5"/>
        <v>-1.9950000000000003</v>
      </c>
      <c r="U8" s="31">
        <f t="shared" si="6"/>
        <v>-0.37149122807017543</v>
      </c>
    </row>
    <row r="9" spans="2:21" ht="18" customHeight="1" x14ac:dyDescent="0.25">
      <c r="B9" s="32" t="str">
        <f>'Data Entry'!A9</f>
        <v xml:space="preserve">4. Cases Diverted </v>
      </c>
      <c r="C9" s="33">
        <f>'Data Entry'!C9</f>
        <v>2</v>
      </c>
      <c r="D9" s="34">
        <f>IF((AND(C68&gt;0,C9&gt;0)),((C9/C68)),0)</f>
        <v>28.571428571428569</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2</v>
      </c>
      <c r="Q9" s="42">
        <f>(C$68*L68)-C9</f>
        <v>5.0000000000000009</v>
      </c>
      <c r="R9" s="42">
        <f t="shared" si="3"/>
        <v>7.0000000000000009</v>
      </c>
      <c r="S9" s="30">
        <f t="shared" si="4"/>
        <v>0</v>
      </c>
      <c r="T9" s="30">
        <f t="shared" si="5"/>
        <v>0</v>
      </c>
      <c r="U9" s="31" t="str">
        <f t="shared" si="6"/>
        <v>- -</v>
      </c>
    </row>
    <row r="10" spans="2:21" ht="18" customHeight="1" x14ac:dyDescent="0.25">
      <c r="B10" s="32" t="str">
        <f>'Data Entry'!A10</f>
        <v>5. Cases Involving Secure Detention</v>
      </c>
      <c r="C10" s="33">
        <f>'Data Entry'!C10</f>
        <v>1</v>
      </c>
      <c r="D10" s="34">
        <f>IF(((AND(C68&gt;0,C10&gt;0))),(C10/(C68)),0)</f>
        <v>14.285714285714285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6.0000000000000009</v>
      </c>
      <c r="R10" s="42">
        <f t="shared" si="3"/>
        <v>7.0000000000000009</v>
      </c>
      <c r="S10" s="30">
        <f t="shared" si="4"/>
        <v>0</v>
      </c>
      <c r="T10" s="30">
        <f t="shared" si="5"/>
        <v>0</v>
      </c>
      <c r="U10" s="31" t="str">
        <f t="shared" si="6"/>
        <v>- -</v>
      </c>
    </row>
    <row r="11" spans="2:21" ht="18" customHeight="1" x14ac:dyDescent="0.25">
      <c r="B11" s="32" t="str">
        <f>'Data Entry'!A11</f>
        <v>6. Cases Petitioned (Charge Filed)</v>
      </c>
      <c r="C11" s="33">
        <f>'Data Entry'!C11</f>
        <v>4</v>
      </c>
      <c r="D11" s="34">
        <f>IF(((AND(C68&gt;0,C11&gt;0))),(C11/(C68)),0)</f>
        <v>57.142857142857139</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v>
      </c>
      <c r="Q11" s="42">
        <f>(C$68*L68)-C11</f>
        <v>3.0000000000000009</v>
      </c>
      <c r="R11" s="42">
        <f t="shared" si="3"/>
        <v>7.0000000000000009</v>
      </c>
      <c r="S11" s="30">
        <f t="shared" si="4"/>
        <v>0</v>
      </c>
      <c r="T11" s="30">
        <f t="shared" si="5"/>
        <v>0</v>
      </c>
      <c r="U11" s="31" t="str">
        <f t="shared" si="6"/>
        <v>- -</v>
      </c>
    </row>
    <row r="12" spans="2:21" ht="18" customHeight="1" x14ac:dyDescent="0.25">
      <c r="B12" s="32" t="str">
        <f>'Data Entry'!A12</f>
        <v>7. Cases Resulting in Delinquent Findings</v>
      </c>
      <c r="C12" s="33">
        <f>'Data Entry'!C12</f>
        <v>4</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4</v>
      </c>
      <c r="Q12" s="42">
        <f>(C69*L69)-C12</f>
        <v>0</v>
      </c>
      <c r="R12" s="42">
        <f t="shared" si="3"/>
        <v>4</v>
      </c>
      <c r="S12" s="30">
        <f t="shared" si="4"/>
        <v>0</v>
      </c>
      <c r="T12" s="30">
        <f t="shared" si="5"/>
        <v>0</v>
      </c>
      <c r="U12" s="31" t="str">
        <f t="shared" si="6"/>
        <v>- -</v>
      </c>
    </row>
    <row r="13" spans="2:21" ht="18" customHeight="1" x14ac:dyDescent="0.25">
      <c r="B13" s="32" t="str">
        <f>'Data Entry'!A13</f>
        <v>8. Cases Resulting in Probation Placement</v>
      </c>
      <c r="C13" s="33">
        <f>'Data Entry'!C13</f>
        <v>4</v>
      </c>
      <c r="D13" s="34">
        <f>IF(((AND(C70&gt;0,C13&gt;0))),(C13/(C70)),0)</f>
        <v>100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4</v>
      </c>
      <c r="Q13" s="42">
        <f>(C70*L70)-C13</f>
        <v>0</v>
      </c>
      <c r="R13" s="42">
        <f t="shared" si="3"/>
        <v>4</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4</v>
      </c>
      <c r="R14" s="42">
        <f t="shared" si="3"/>
        <v>4</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v>
      </c>
      <c r="R15" s="42">
        <f t="shared" si="3"/>
        <v>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1.4E-2</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1.4E-2</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1.4E-2</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1.4E-2</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1.4E-2</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Entry'!F6</f>
        <v>2</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v>
      </c>
      <c r="P7" s="42">
        <f t="shared" ref="P7:P15" si="4">C7</f>
        <v>6</v>
      </c>
      <c r="Q7" s="42">
        <f>C6-C7</f>
        <v>499</v>
      </c>
      <c r="R7" s="42">
        <f t="shared" ref="R7:R15" si="5">SUM(N7:Q7)</f>
        <v>507</v>
      </c>
      <c r="S7" s="30">
        <f t="shared" ref="S7:S15" si="6">R7*((((N7*Q7)-(O7*P7))^2))</f>
        <v>73008</v>
      </c>
      <c r="T7" s="30">
        <f t="shared" ref="T7:T15" si="7">(N7+O7)*(P7+Q7)*(N7+P7)*(O7+Q7)</f>
        <v>3036060</v>
      </c>
      <c r="U7" s="31">
        <f t="shared" ref="U7:U15" si="8">IF((S7&gt;0),S7/T7,"- -")</f>
        <v>2.4046955593762968E-2</v>
      </c>
    </row>
    <row r="8" spans="2:21" ht="18" customHeight="1" x14ac:dyDescent="0.25">
      <c r="B8" s="32" t="str">
        <f>'Data Entry'!A8</f>
        <v>3. Refer to Juvenile Court</v>
      </c>
      <c r="C8" s="33">
        <f>'Data Entry'!C8</f>
        <v>7</v>
      </c>
      <c r="D8" s="34">
        <f>IF((AND(C67&gt;0,C8&gt;0)),(C8/C67),0)</f>
        <v>116.66666666666667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2E-3</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2E-3</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2E-3</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2E-3</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2E-3</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Entry'!E6</f>
        <v>19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6</v>
      </c>
      <c r="Q7" s="42">
        <f>C6-C7</f>
        <v>499</v>
      </c>
      <c r="R7" s="42">
        <f t="shared" ref="R7:R15" si="5">SUM(N7:Q7)</f>
        <v>524</v>
      </c>
      <c r="S7" s="30">
        <f t="shared" ref="S7:S15" si="6">R7*((((N7*Q7)-(O7*P7))^2))</f>
        <v>6809904</v>
      </c>
      <c r="T7" s="30">
        <f t="shared" ref="T7:T15" si="7">(N7+O7)*(P7+Q7)*(N7+P7)*(O7+Q7)</f>
        <v>29821260</v>
      </c>
      <c r="U7" s="31">
        <f t="shared" ref="U7:U15" si="8">IF((S7&gt;0),S7/T7,"- -")</f>
        <v>0.22835735310982835</v>
      </c>
    </row>
    <row r="8" spans="2:21" ht="18" customHeight="1" x14ac:dyDescent="0.25">
      <c r="B8" s="32" t="str">
        <f>'Data Entry'!A8</f>
        <v>3. Refer to Juvenile Court</v>
      </c>
      <c r="C8" s="33">
        <f>'Data Entry'!C8</f>
        <v>7</v>
      </c>
      <c r="D8" s="34">
        <f>IF((AND(C67&gt;0,C8&gt;0)),(C8/C67),0)</f>
        <v>116.66666666666667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1.9E-2</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1.9E-2</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1.9E-2</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1.9E-2</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1.9E-2</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499</v>
      </c>
      <c r="R7" s="42">
        <f t="shared" ref="R7:R15" si="5">SUM(N7:Q7)</f>
        <v>505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116.66666666666667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0</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0</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0</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0</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0</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Alger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505</v>
      </c>
      <c r="D6" s="34"/>
      <c r="E6" s="33">
        <f>'Data Entry'!H6</f>
        <v>44</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11.881188118811881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44</v>
      </c>
      <c r="P7" s="42">
        <f t="shared" ref="P7:P15" si="4">C7</f>
        <v>6</v>
      </c>
      <c r="Q7" s="42">
        <f>C6-C7</f>
        <v>499</v>
      </c>
      <c r="R7" s="42">
        <f t="shared" ref="R7:R15" si="5">SUM(N7:Q7)</f>
        <v>549</v>
      </c>
      <c r="S7" s="30">
        <f t="shared" ref="S7:S15" si="6">R7*((((N7*Q7)-(O7*P7))^2))</f>
        <v>38263104</v>
      </c>
      <c r="T7" s="30">
        <f t="shared" ref="T7:T15" si="7">(N7+O7)*(P7+Q7)*(N7+P7)*(O7+Q7)</f>
        <v>72392760</v>
      </c>
      <c r="U7" s="31">
        <f t="shared" ref="U7:U15" si="8">IF((S7&gt;0),S7/T7,"- -")</f>
        <v>0.52854876647885785</v>
      </c>
    </row>
    <row r="8" spans="2:21" ht="18" customHeight="1" x14ac:dyDescent="0.25">
      <c r="B8" s="32" t="str">
        <f>'Data Entry'!A8</f>
        <v>3. Refer to Juvenile Court</v>
      </c>
      <c r="C8" s="33">
        <f>'Data Entry'!C8</f>
        <v>7</v>
      </c>
      <c r="D8" s="34">
        <f>IF((AND(C67&gt;0,C8&gt;0)),(C8/C67),0)</f>
        <v>116.66666666666667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v>
      </c>
      <c r="Q8" s="42">
        <f>(C$67*L67)-C8</f>
        <v>-1</v>
      </c>
      <c r="R8" s="42">
        <f t="shared" si="5"/>
        <v>6.05</v>
      </c>
      <c r="S8" s="30">
        <f t="shared" si="6"/>
        <v>0.74112500000000014</v>
      </c>
      <c r="T8" s="30">
        <f t="shared" si="7"/>
        <v>-1.9950000000000003</v>
      </c>
      <c r="U8" s="31">
        <f t="shared" si="8"/>
        <v>-0.37149122807017543</v>
      </c>
    </row>
    <row r="9" spans="2:21" ht="18" customHeight="1" x14ac:dyDescent="0.25">
      <c r="B9" s="32" t="str">
        <f>'Data Entry'!A9</f>
        <v xml:space="preserve">4. Cases Diverted </v>
      </c>
      <c r="C9" s="33">
        <f>'Data Entry'!C9</f>
        <v>2</v>
      </c>
      <c r="D9" s="34">
        <f>IF((AND(C68&gt;0,C9&gt;0)),((C9/C68)),0)</f>
        <v>28.571428571428569</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5.0000000000000009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14.285714285714285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100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0</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0.505</v>
      </c>
      <c r="D42" s="56">
        <f>E6/1000</f>
        <v>4.3999999999999997E-2</v>
      </c>
      <c r="E42" s="56">
        <f>MAX(C42:D42)</f>
        <v>0.505</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0.505</v>
      </c>
      <c r="D48" s="56">
        <f>D42</f>
        <v>4.3999999999999997E-2</v>
      </c>
      <c r="E48" s="56">
        <f>MAX(C48:D48)</f>
        <v>0.505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0.505</v>
      </c>
      <c r="D54" s="56">
        <f>D48</f>
        <v>4.3999999999999997E-2</v>
      </c>
      <c r="E54" s="56">
        <f>MAX(C54:D54)</f>
        <v>0.505</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0.505</v>
      </c>
      <c r="D60" s="56">
        <f>D54</f>
        <v>4.3999999999999997E-2</v>
      </c>
      <c r="E60" s="56">
        <f>MAX(C60:D60)</f>
        <v>0.505</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0.505</v>
      </c>
      <c r="D66" s="56">
        <f>D60</f>
        <v>4.3999999999999997E-2</v>
      </c>
      <c r="E66" s="56">
        <f>MAX(C66:D66)</f>
        <v>0.505</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U47JMPN4QEAR-1806752177-30146</_dlc_DocId>
    <_dlc_DocIdUrl xmlns="ac3811b5-0f3e-49e2-ba69-f2ffa0c782af">
      <Url>https://michiganphi.sharepoint.com/sites/CMDMC/_layouts/15/DocIdRedir.aspx?ID=U47JMPN4QEAR-1806752177-30146</Url>
      <Description>U47JMPN4QEAR-1806752177-30146</Description>
    </_dlc_DocIdUrl>
  </documentManagement>
</p:properties>
</file>

<file path=customXml/itemProps1.xml><?xml version="1.0" encoding="utf-8"?>
<ds:datastoreItem xmlns:ds="http://schemas.openxmlformats.org/officeDocument/2006/customXml" ds:itemID="{9EE6DDDA-CA0C-4034-9D1E-6FC8C7899767}"/>
</file>

<file path=customXml/itemProps2.xml><?xml version="1.0" encoding="utf-8"?>
<ds:datastoreItem xmlns:ds="http://schemas.openxmlformats.org/officeDocument/2006/customXml" ds:itemID="{874AF54E-F8EA-45FC-B8AF-D7C5ADC61664}"/>
</file>

<file path=customXml/itemProps3.xml><?xml version="1.0" encoding="utf-8"?>
<ds:datastoreItem xmlns:ds="http://schemas.openxmlformats.org/officeDocument/2006/customXml" ds:itemID="{559F6FF7-2897-4298-A797-FBA0CD0C35B3}"/>
</file>

<file path=customXml/itemProps4.xml><?xml version="1.0" encoding="utf-8"?>
<ds:datastoreItem xmlns:ds="http://schemas.openxmlformats.org/officeDocument/2006/customXml" ds:itemID="{82261121-AB82-40A1-A4D9-F23AA0300D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ed6aef16-b856-4fb9-9378-29413c92afc7</vt:lpwstr>
  </property>
</Properties>
</file>