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mc:AlternateContent xmlns:mc="http://schemas.openxmlformats.org/markup-compatibility/2006">
    <mc:Choice Requires="x15">
      <x15ac:absPath xmlns:x15ac="http://schemas.microsoft.com/office/spreadsheetml/2010/11/ac" url="https://michiganphi.sharepoint.com/sites/CMDMC/Shared Documents/DMC/2022 Matrices/"/>
    </mc:Choice>
  </mc:AlternateContent>
  <xr:revisionPtr revIDLastSave="17" documentId="8_{6FEFCE5B-BE14-4123-B19F-50494F970024}" xr6:coauthVersionLast="47" xr6:coauthVersionMax="47" xr10:uidLastSave="{10AD6C3E-20B4-4D91-AB90-4A7BFEE6999A}"/>
  <bookViews>
    <workbookView xWindow="4995" yWindow="825" windowWidth="22980" windowHeight="12780" activeTab="4"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3" l="1"/>
  <c r="D7" i="2"/>
  <c r="B16" i="1"/>
  <c r="N16" i="13"/>
  <c r="A6" i="17"/>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c r="G56" i="5"/>
  <c r="G62" i="5"/>
  <c r="G68" i="5" s="1"/>
  <c r="G45" i="5"/>
  <c r="G46" i="5"/>
  <c r="G52" i="5" s="1"/>
  <c r="G58" i="5" s="1"/>
  <c r="G64" i="5" s="1"/>
  <c r="G70" i="5" s="1"/>
  <c r="G48" i="5"/>
  <c r="G54" i="5"/>
  <c r="G60" i="5"/>
  <c r="G66" i="5"/>
  <c r="L48" i="5"/>
  <c r="G51" i="5"/>
  <c r="G57" i="5" s="1"/>
  <c r="G63" i="5" s="1"/>
  <c r="G69" i="5" s="1"/>
  <c r="L54" i="5"/>
  <c r="L60" i="5"/>
  <c r="L66" i="5" s="1"/>
  <c r="F1" i="6"/>
  <c r="B2" i="6"/>
  <c r="B3" i="6"/>
  <c r="B6" i="6"/>
  <c r="B7" i="6"/>
  <c r="B8" i="6"/>
  <c r="B9" i="6"/>
  <c r="B10" i="6"/>
  <c r="B11" i="6"/>
  <c r="B12" i="6"/>
  <c r="B13" i="6"/>
  <c r="B14" i="6"/>
  <c r="B15" i="6"/>
  <c r="B48" i="6"/>
  <c r="B54" i="6"/>
  <c r="B60" i="6"/>
  <c r="B66" i="6"/>
  <c r="J27" i="6"/>
  <c r="G42" i="6"/>
  <c r="G48" i="6" s="1"/>
  <c r="G54" i="6" s="1"/>
  <c r="G60" i="6" s="1"/>
  <c r="G66" i="6" s="1"/>
  <c r="M66" i="6" s="1"/>
  <c r="G43" i="6"/>
  <c r="G49" i="6"/>
  <c r="G55" i="6" s="1"/>
  <c r="G61" i="6" s="1"/>
  <c r="G67" i="6" s="1"/>
  <c r="G44" i="6"/>
  <c r="G45" i="6"/>
  <c r="G51" i="6"/>
  <c r="G57" i="6" s="1"/>
  <c r="G63" i="6" s="1"/>
  <c r="G69" i="6" s="1"/>
  <c r="G46" i="6"/>
  <c r="G52" i="6"/>
  <c r="G58" i="6"/>
  <c r="G64" i="6"/>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48" i="8"/>
  <c r="G54" i="8" s="1"/>
  <c r="G60" i="8" s="1"/>
  <c r="G66" i="8" s="1"/>
  <c r="L48" i="8"/>
  <c r="G49" i="8"/>
  <c r="G55" i="8"/>
  <c r="G51" i="8"/>
  <c r="G57" i="8" s="1"/>
  <c r="G63" i="8" s="1"/>
  <c r="G69" i="8" s="1"/>
  <c r="L54" i="8"/>
  <c r="L60" i="8" s="1"/>
  <c r="L66" i="8" s="1"/>
  <c r="G58" i="8"/>
  <c r="G64" i="8"/>
  <c r="G70"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c r="F27" i="5" l="1"/>
  <c r="M66" i="5"/>
  <c r="F27" i="2"/>
  <c r="M66" i="2"/>
  <c r="M66" i="8"/>
  <c r="F27" i="8"/>
  <c r="M66" i="7"/>
  <c r="F27" i="7"/>
  <c r="F27" i="3"/>
  <c r="M66" i="3"/>
  <c r="F27" i="4"/>
  <c r="M66" i="4"/>
  <c r="H5" i="16"/>
  <c r="H5" i="13"/>
  <c r="F5" i="16"/>
  <c r="F5" i="13"/>
  <c r="F6" i="9"/>
  <c r="D5" i="16"/>
  <c r="D5" i="13"/>
  <c r="D10" i="13"/>
  <c r="C8" i="13"/>
  <c r="C10" i="13"/>
  <c r="C16" i="13"/>
  <c r="D14" i="13"/>
  <c r="D13" i="13"/>
  <c r="D11" i="13"/>
  <c r="D9" i="13"/>
  <c r="D15" i="13"/>
  <c r="D8" i="13"/>
  <c r="E8" i="3" l="1"/>
  <c r="D44" i="3" s="1"/>
  <c r="H9" i="13"/>
  <c r="E12" i="5"/>
  <c r="D46" i="5" s="1"/>
  <c r="J13" i="13"/>
  <c r="E13" i="5"/>
  <c r="N13" i="5" s="1"/>
  <c r="J14" i="13"/>
  <c r="E14" i="7"/>
  <c r="N14" i="7" s="1"/>
  <c r="E10" i="5"/>
  <c r="N10" i="5" s="1"/>
  <c r="J11" i="13"/>
  <c r="E12" i="7"/>
  <c r="N12" i="7" s="1"/>
  <c r="E15" i="7"/>
  <c r="N15" i="7" s="1"/>
  <c r="E12" i="3"/>
  <c r="N12" i="3" s="1"/>
  <c r="H13" i="13"/>
  <c r="E11" i="3"/>
  <c r="D45" i="3" s="1"/>
  <c r="H12" i="13"/>
  <c r="E7" i="4"/>
  <c r="D43" i="4" s="1"/>
  <c r="F8" i="13"/>
  <c r="E12" i="6"/>
  <c r="D46" i="6" s="1"/>
  <c r="L13" i="13"/>
  <c r="E13" i="7"/>
  <c r="N13" i="7" s="1"/>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E15" i="3"/>
  <c r="N15" i="3" s="1"/>
  <c r="H16" i="13"/>
  <c r="E9" i="5"/>
  <c r="N9" i="5" s="1"/>
  <c r="J10" i="13"/>
  <c r="E11" i="7"/>
  <c r="D45" i="7" s="1"/>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N11" i="7"/>
  <c r="D46" i="3"/>
  <c r="N7" i="4"/>
  <c r="N12" i="4"/>
  <c r="O25" i="4" s="1"/>
  <c r="F16" i="1"/>
  <c r="C16" i="1"/>
  <c r="J16" i="1"/>
  <c r="G16" i="1"/>
  <c r="K17" i="13" s="1"/>
  <c r="E8" i="7"/>
  <c r="D44" i="7" s="1"/>
  <c r="E7" i="5"/>
  <c r="N7" i="5" s="1"/>
  <c r="J8" i="13"/>
  <c r="E9" i="8"/>
  <c r="N9" i="8" s="1"/>
  <c r="P10" i="13"/>
  <c r="E12" i="8"/>
  <c r="N12" i="8" s="1"/>
  <c r="E10" i="3"/>
  <c r="N10" i="3" s="1"/>
  <c r="H11" i="13"/>
  <c r="E13" i="8"/>
  <c r="N13" i="8" s="1"/>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R7" i="7"/>
  <c r="S7" i="7" s="1"/>
  <c r="E14" i="8"/>
  <c r="N14" i="8" s="1"/>
  <c r="D16" i="9"/>
  <c r="E28" i="10" s="1"/>
  <c r="E15" i="8"/>
  <c r="N15" i="8" s="1"/>
  <c r="P16" i="13"/>
  <c r="H16" i="9"/>
  <c r="I28" i="10" s="1"/>
  <c r="C16" i="9"/>
  <c r="D28" i="10" s="1"/>
  <c r="E8" i="8"/>
  <c r="N8" i="8" s="1"/>
  <c r="E10" i="8"/>
  <c r="N10" i="8" s="1"/>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L55" i="5" s="1"/>
  <c r="L51" i="2"/>
  <c r="D51" i="2"/>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5" i="5"/>
  <c r="C55" i="5"/>
  <c r="E55" i="5" s="1"/>
  <c r="D61" i="5" s="1"/>
  <c r="B55" i="5"/>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5" l="1"/>
  <c r="E58" i="8"/>
  <c r="L64" i="8" s="1"/>
  <c r="L64" i="3"/>
  <c r="L56" i="8"/>
  <c r="B56" i="8"/>
  <c r="D64" i="5"/>
  <c r="C57" i="8"/>
  <c r="C64" i="5"/>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G7" i="2"/>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D64" i="8"/>
  <c r="B64" i="8"/>
  <c r="I7" i="9"/>
  <c r="Q8" i="13"/>
  <c r="E64" i="5"/>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L70" i="5" l="1"/>
  <c r="B70" i="3"/>
  <c r="M70" i="3" s="1"/>
  <c r="C70" i="5"/>
  <c r="D13" i="5" s="1"/>
  <c r="D70" i="5"/>
  <c r="F14" i="5" s="1"/>
  <c r="C69" i="7"/>
  <c r="D12" i="7" s="1"/>
  <c r="D63" i="8"/>
  <c r="D70" i="8" s="1"/>
  <c r="F13" i="8" s="1"/>
  <c r="L69" i="7"/>
  <c r="B70" i="5"/>
  <c r="F33" i="5" s="1"/>
  <c r="C63" i="8"/>
  <c r="D70" i="6"/>
  <c r="F13" i="6" s="1"/>
  <c r="L63" i="8"/>
  <c r="L70" i="8" s="1"/>
  <c r="E63" i="3"/>
  <c r="C69" i="3" s="1"/>
  <c r="D15"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Q13" i="5"/>
  <c r="Q14" i="5"/>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34" i="3" l="1"/>
  <c r="F33" i="3"/>
  <c r="O13" i="5"/>
  <c r="D14" i="5"/>
  <c r="D69" i="3"/>
  <c r="E69" i="3" s="1"/>
  <c r="D12" i="3"/>
  <c r="L69" i="3"/>
  <c r="Q12" i="3" s="1"/>
  <c r="D15" i="7"/>
  <c r="F13" i="5"/>
  <c r="Q15" i="7"/>
  <c r="Q12" i="7"/>
  <c r="O14" i="5"/>
  <c r="T14" i="5" s="1"/>
  <c r="E70" i="5"/>
  <c r="C69" i="6"/>
  <c r="D12" i="6" s="1"/>
  <c r="E63" i="8"/>
  <c r="D69" i="8" s="1"/>
  <c r="M70" i="5"/>
  <c r="B69" i="6"/>
  <c r="M69" i="6" s="1"/>
  <c r="C70" i="8"/>
  <c r="Q14" i="8" s="1"/>
  <c r="F34" i="5"/>
  <c r="D13" i="3"/>
  <c r="O13" i="6"/>
  <c r="F14" i="6"/>
  <c r="E70" i="6"/>
  <c r="E69" i="7"/>
  <c r="D13" i="6"/>
  <c r="O13" i="3"/>
  <c r="F14" i="3"/>
  <c r="O14" i="6"/>
  <c r="B69" i="3"/>
  <c r="M69" i="3" s="1"/>
  <c r="Q14" i="3"/>
  <c r="F12" i="7"/>
  <c r="O12" i="7"/>
  <c r="D14" i="6"/>
  <c r="O15" i="7"/>
  <c r="Q13" i="3"/>
  <c r="Q13" i="6"/>
  <c r="Q14" i="6"/>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F34" i="8"/>
  <c r="F33" i="8"/>
  <c r="C70" i="2"/>
  <c r="D14" i="2" s="1"/>
  <c r="Q15" i="3"/>
  <c r="D70" i="2"/>
  <c r="O14" i="2" s="1"/>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5" i="3" l="1"/>
  <c r="F15" i="3"/>
  <c r="B69" i="8"/>
  <c r="M69" i="8" s="1"/>
  <c r="F12" i="3"/>
  <c r="K12" i="7"/>
  <c r="O12" i="3"/>
  <c r="R12" i="3" s="1"/>
  <c r="S12" i="3" s="1"/>
  <c r="U12" i="3" s="1"/>
  <c r="J12" i="3" s="1"/>
  <c r="F35" i="6"/>
  <c r="F32" i="6"/>
  <c r="Q15" i="6"/>
  <c r="D15" i="6"/>
  <c r="C69" i="8"/>
  <c r="E69" i="8" s="1"/>
  <c r="Q12" i="6"/>
  <c r="Q13" i="8"/>
  <c r="R13" i="8" s="1"/>
  <c r="S13" i="8" s="1"/>
  <c r="K14" i="5"/>
  <c r="R14" i="5"/>
  <c r="S14" i="5" s="1"/>
  <c r="U14" i="5" s="1"/>
  <c r="J14" i="5" s="1"/>
  <c r="M14" i="5" s="1"/>
  <c r="R15" i="7"/>
  <c r="S15" i="7" s="1"/>
  <c r="U15" i="7" s="1"/>
  <c r="J15" i="7" s="1"/>
  <c r="E70" i="8"/>
  <c r="D13" i="8"/>
  <c r="D14" i="8"/>
  <c r="R14" i="3"/>
  <c r="S14" i="3" s="1"/>
  <c r="U14" i="3" s="1"/>
  <c r="J14" i="3" s="1"/>
  <c r="M14" i="3" s="1"/>
  <c r="G14" i="3" s="1"/>
  <c r="I15" i="16" s="1"/>
  <c r="K13" i="3"/>
  <c r="K15" i="7"/>
  <c r="T12" i="7"/>
  <c r="R12" i="7"/>
  <c r="S12" i="7" s="1"/>
  <c r="O15" i="6"/>
  <c r="T14" i="6"/>
  <c r="R13" i="6"/>
  <c r="S13" i="6" s="1"/>
  <c r="U13" i="6" s="1"/>
  <c r="J13" i="6" s="1"/>
  <c r="M13" i="6" s="1"/>
  <c r="G13" i="6" s="1"/>
  <c r="G13" i="9" s="1"/>
  <c r="K14" i="6"/>
  <c r="R14" i="8"/>
  <c r="S14" i="8" s="1"/>
  <c r="R14" i="6"/>
  <c r="S14" i="6" s="1"/>
  <c r="U14" i="6" s="1"/>
  <c r="J14" i="6" s="1"/>
  <c r="M14" i="6" s="1"/>
  <c r="G14" i="6" s="1"/>
  <c r="M15" i="13" s="1"/>
  <c r="K13" i="6"/>
  <c r="F32" i="3"/>
  <c r="F35" i="3"/>
  <c r="T13" i="6"/>
  <c r="O12" i="6"/>
  <c r="E69" i="6"/>
  <c r="T13" i="3"/>
  <c r="K14" i="3"/>
  <c r="T14" i="3"/>
  <c r="R13" i="3"/>
  <c r="S13" i="3" s="1"/>
  <c r="U13" i="3" s="1"/>
  <c r="J13" i="3" s="1"/>
  <c r="T15" i="7"/>
  <c r="F15" i="6"/>
  <c r="L13" i="4"/>
  <c r="O14" i="16" s="1"/>
  <c r="L11" i="4"/>
  <c r="O12" i="16" s="1"/>
  <c r="K8" i="7"/>
  <c r="O13" i="2"/>
  <c r="O12" i="8"/>
  <c r="F35" i="8"/>
  <c r="T8" i="7"/>
  <c r="U8" i="7" s="1"/>
  <c r="J8" i="7" s="1"/>
  <c r="M8" i="7" s="1"/>
  <c r="T13" i="7"/>
  <c r="Q12" i="8"/>
  <c r="F32" i="8"/>
  <c r="Q10" i="7"/>
  <c r="F13" i="2"/>
  <c r="Q11" i="7"/>
  <c r="R8" i="6"/>
  <c r="S8" i="6" s="1"/>
  <c r="F14" i="2"/>
  <c r="F10" i="7"/>
  <c r="L10" i="3"/>
  <c r="P11" i="16" s="1"/>
  <c r="F30" i="7"/>
  <c r="M68" i="7"/>
  <c r="F29" i="7"/>
  <c r="F15" i="5"/>
  <c r="D15" i="8"/>
  <c r="K14"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Q13" i="2"/>
  <c r="U9" i="3"/>
  <c r="J9" i="3" s="1"/>
  <c r="L9" i="3" s="1"/>
  <c r="K15" i="3"/>
  <c r="T15" i="3"/>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3" i="8" l="1"/>
  <c r="T12" i="3"/>
  <c r="K12" i="3"/>
  <c r="D12" i="8"/>
  <c r="Q15" i="8"/>
  <c r="R15" i="8" s="1"/>
  <c r="S15" i="8" s="1"/>
  <c r="U15" i="8" s="1"/>
  <c r="J15" i="8" s="1"/>
  <c r="T13" i="8"/>
  <c r="N30" i="3"/>
  <c r="K12" i="6"/>
  <c r="T15" i="6"/>
  <c r="K15" i="6"/>
  <c r="I15" i="13"/>
  <c r="L14" i="3"/>
  <c r="P15" i="16" s="1"/>
  <c r="L15" i="7"/>
  <c r="S16" i="16" s="1"/>
  <c r="E14" i="9"/>
  <c r="M15" i="7"/>
  <c r="L13" i="3"/>
  <c r="P14" i="16" s="1"/>
  <c r="L14" i="5"/>
  <c r="Q15" i="16" s="1"/>
  <c r="N30" i="5"/>
  <c r="M14" i="13"/>
  <c r="R15" i="6"/>
  <c r="S15" i="6" s="1"/>
  <c r="U15" i="6" s="1"/>
  <c r="J15" i="6" s="1"/>
  <c r="U13" i="7"/>
  <c r="J13" i="7" s="1"/>
  <c r="M13" i="7" s="1"/>
  <c r="R12" i="6"/>
  <c r="S12" i="6" s="1"/>
  <c r="U12" i="6" s="1"/>
  <c r="J12" i="6" s="1"/>
  <c r="U13" i="8"/>
  <c r="J13" i="8" s="1"/>
  <c r="M13" i="8" s="1"/>
  <c r="G13" i="8" s="1"/>
  <c r="U12" i="7"/>
  <c r="J12" i="7" s="1"/>
  <c r="L13" i="6"/>
  <c r="R14" i="16" s="1"/>
  <c r="M13" i="3"/>
  <c r="G13" i="3" s="1"/>
  <c r="I14" i="16" s="1"/>
  <c r="U14" i="8"/>
  <c r="J14" i="8" s="1"/>
  <c r="N30" i="8" s="1"/>
  <c r="T12" i="6"/>
  <c r="M13" i="9"/>
  <c r="U14" i="13"/>
  <c r="U12" i="13"/>
  <c r="M11" i="9"/>
  <c r="R12" i="8"/>
  <c r="S12" i="8" s="1"/>
  <c r="T13" i="2"/>
  <c r="U8" i="6"/>
  <c r="J8" i="6" s="1"/>
  <c r="M8" i="6" s="1"/>
  <c r="G8" i="6" s="1"/>
  <c r="M9" i="13" s="1"/>
  <c r="R13" i="2"/>
  <c r="S13" i="2" s="1"/>
  <c r="U13" i="2" s="1"/>
  <c r="J13" i="2" s="1"/>
  <c r="M13" i="2" s="1"/>
  <c r="G13" i="2" s="1"/>
  <c r="E14" i="16" s="1"/>
  <c r="V11" i="13"/>
  <c r="G14" i="9"/>
  <c r="T12" i="8"/>
  <c r="K12" i="8"/>
  <c r="R10" i="7"/>
  <c r="S10" i="7" s="1"/>
  <c r="T11" i="7"/>
  <c r="T10" i="7"/>
  <c r="L8" i="2"/>
  <c r="N9" i="16" s="1"/>
  <c r="K13" i="2"/>
  <c r="R15" i="5"/>
  <c r="S15" i="5" s="1"/>
  <c r="U15" i="5" s="1"/>
  <c r="J15" i="5" s="1"/>
  <c r="M15" i="5" s="1"/>
  <c r="K11" i="7"/>
  <c r="T9" i="7"/>
  <c r="U9" i="7" s="1"/>
  <c r="J9" i="7" s="1"/>
  <c r="M9" i="7" s="1"/>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M9" i="3"/>
  <c r="G9" i="3" s="1"/>
  <c r="I10" i="13" s="1"/>
  <c r="G12" i="13"/>
  <c r="G12" i="16"/>
  <c r="N9" i="9"/>
  <c r="P10" i="16"/>
  <c r="M14" i="7"/>
  <c r="N30" i="7"/>
  <c r="L14" i="7"/>
  <c r="S15" i="16" s="1"/>
  <c r="L8" i="7"/>
  <c r="S9" i="16" s="1"/>
  <c r="O13" i="9"/>
  <c r="M9" i="9"/>
  <c r="M10" i="9"/>
  <c r="V10" i="13"/>
  <c r="U12" i="2"/>
  <c r="J12" i="2" s="1"/>
  <c r="L12" i="2" s="1"/>
  <c r="N13" i="16" s="1"/>
  <c r="D11"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Q15" i="9" l="1"/>
  <c r="X14" i="13"/>
  <c r="Y16" i="13"/>
  <c r="V14" i="13"/>
  <c r="N13" i="9"/>
  <c r="L12" i="6"/>
  <c r="R13" i="16" s="1"/>
  <c r="K15" i="8"/>
  <c r="L15" i="8" s="1"/>
  <c r="T16" i="16" s="1"/>
  <c r="T15" i="8"/>
  <c r="L15" i="6"/>
  <c r="R16" i="16" s="1"/>
  <c r="W15" i="13"/>
  <c r="V15" i="13"/>
  <c r="N14" i="9"/>
  <c r="O14" i="9"/>
  <c r="M15" i="6"/>
  <c r="G15" i="6" s="1"/>
  <c r="G15" i="9" s="1"/>
  <c r="L13" i="7"/>
  <c r="S14" i="16" s="1"/>
  <c r="P13" i="9"/>
  <c r="M12" i="6"/>
  <c r="G12" i="6" s="1"/>
  <c r="G12" i="9" s="1"/>
  <c r="K14" i="16"/>
  <c r="Q14" i="13"/>
  <c r="I13" i="9"/>
  <c r="L13" i="8"/>
  <c r="U12" i="8"/>
  <c r="J12" i="8" s="1"/>
  <c r="L12" i="8" s="1"/>
  <c r="T13" i="16" s="1"/>
  <c r="L12" i="7"/>
  <c r="M12" i="7"/>
  <c r="U10" i="7"/>
  <c r="J10" i="7" s="1"/>
  <c r="L10" i="7" s="1"/>
  <c r="S11" i="16" s="1"/>
  <c r="I14" i="13"/>
  <c r="E13" i="9"/>
  <c r="M14" i="8"/>
  <c r="G14" i="8" s="1"/>
  <c r="K15" i="16" s="1"/>
  <c r="L14" i="8"/>
  <c r="T15" i="16" s="1"/>
  <c r="L8" i="6"/>
  <c r="R9" i="16" s="1"/>
  <c r="L15" i="5"/>
  <c r="Q16" i="16" s="1"/>
  <c r="T9" i="13"/>
  <c r="L8" i="9"/>
  <c r="X15" i="13"/>
  <c r="P14" i="9"/>
  <c r="G8" i="9"/>
  <c r="Q14" i="9"/>
  <c r="Y15" i="13"/>
  <c r="E9" i="13"/>
  <c r="L10" i="2"/>
  <c r="N11" i="16" s="1"/>
  <c r="L11" i="6"/>
  <c r="R12" i="16" s="1"/>
  <c r="V16" i="13"/>
  <c r="N15" i="9"/>
  <c r="I10" i="16"/>
  <c r="C8" i="9"/>
  <c r="E9" i="9"/>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X13" i="13" l="1"/>
  <c r="P12" i="9"/>
  <c r="M12" i="8"/>
  <c r="G12" i="8" s="1"/>
  <c r="K13" i="16" s="1"/>
  <c r="P15" i="9"/>
  <c r="X16" i="13"/>
  <c r="Q13" i="9"/>
  <c r="M16" i="13"/>
  <c r="Y14" i="13"/>
  <c r="M13" i="13"/>
  <c r="M10" i="7"/>
  <c r="T14" i="16"/>
  <c r="R13" i="9"/>
  <c r="Z14" i="13"/>
  <c r="S13" i="16"/>
  <c r="Q12" i="9"/>
  <c r="Y13" i="13"/>
  <c r="I14" i="9"/>
  <c r="R14" i="9"/>
  <c r="Q15" i="13"/>
  <c r="Z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Q13" i="13" l="1"/>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<sst xmlns="http://schemas.openxmlformats.org/spreadsheetml/2006/main" count="654" uniqueCount="141">
  <si>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</si>
  <si>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</si>
  <si>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</si>
  <si>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</si>
  <si>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</si>
  <si>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</si>
  <si>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</si>
  <si>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</si>
  <si>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</si>
  <si>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</si>
  <si>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</si>
  <si>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</si>
  <si>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</si>
  <si>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</si>
  <si>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</si>
  <si>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</si>
  <si>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</si>
  <si>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</si>
  <si>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</si>
  <si>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</si>
  <si>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</si>
  <si>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</si>
  <si>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</si>
  <si>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</si>
  <si>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</si>
  <si>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</si>
  <si>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</si>
  <si>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</si>
  <si>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</si>
  <si>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</si>
  <si>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</si>
  <si>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</si>
  <si>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</si>
  <si>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</si>
  <si>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</si>
  <si>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</si>
  <si>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</si>
  <si>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</si>
  <si>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</si>
  <si>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</si>
  <si>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</si>
  <si>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</si>
  <si>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</si>
  <si>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</si>
  <si>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</si>
  <si>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</si>
  <si>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</si>
  <si>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</si>
  <si>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</si>
  <si>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</si>
  <si>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</si>
  <si>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</si>
  <si>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</si>
  <si>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</si>
  <si>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</si>
  <si>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</si>
  <si>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</si>
  <si>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</si>
  <si>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</si>
  <si>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</si>
  <si>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</si>
  <si>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</si>
  <si>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</si>
  <si>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</si>
  <si>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</si>
  <si>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</si>
  <si>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</si>
  <si>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</si>
  <si>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</si>
  <si>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</si>
  <si>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</si>
  <si>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</si>
  <si>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</si>
  <si>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</si>
  <si>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</si>
  <si>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</si>
  <si>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</si>
  <si>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</si>
  <si>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</si>
  <si>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</si>
  <si>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</si>
  <si>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</si>
  <si>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</si>
  <si>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</si>
  <si>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</si>
  <si>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</si>
  <si>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</si>
  <si>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</si>
  <si>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</si>
  <si>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</si>
  <si>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</si>
  <si>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</si>
  <si>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</si>
  <si>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</si>
  <si>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</si>
  <si>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</si>
  <si>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</si>
  <si>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</si>
  <si>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</si>
  <si>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</si>
  <si>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</si>
  <si>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</si>
  <si>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</si>
  <si>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</si>
  <si>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</si>
  <si>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</si>
  <si>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</si>
  <si>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</si>
  <si>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</si>
  <si>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</si>
  <si>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</si>
  <si>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</si>
  <si>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</si>
  <si>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</si>
  <si>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</si>
  <si>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</si>
  <si>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</si>
  <si>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</si>
  <si>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</si>
  <si>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</si>
  <si>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</si>
  <si>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</si>
  <si>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</si>
  <si>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</si>
  <si>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</si>
  <si>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</si>
  <si>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</si>
  <si>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</si>
  <si>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</si>
  <si>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</si>
  <si>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</si>
  <si>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</si>
  <si>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</si>
  <si>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</si>
  <si>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</si>
  <si>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</si>
  <si>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Alcona</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</si>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</sst>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8">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xf numFmtId="4" fontId="2" fillId="0" borderId="1" xfId="0" applyNumberFormat="1" applyFont="1" applyFill="1" applyBorder="1" applyAlignment="1">
      <alignment horizontal="right" vertical="center"/>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Alcona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c:v>
                </c:pt>
                <c:pt idx="3">
                  <c:v>Petitions, total N=5</c:v>
                </c:pt>
                <c:pt idx="4">
                  <c:v>Detentions, total N=0</c:v>
                </c:pt>
                <c:pt idx="5">
                  <c:v>Referrals, total N=8</c:v>
                </c:pt>
                <c:pt idx="6">
                  <c:v>Arrests, total N=2</c:v>
                </c:pt>
                <c:pt idx="7">
                  <c:v>Population, total N=644</c:v>
                </c:pt>
              </c:strCache>
            </c:strRef>
          </c:cat>
          <c:val>
            <c:numRef>
              <c:f>'Stacked 100%'!$B$7:$B$14</c:f>
              <c:numCache>
                <c:formatCode>0%</c:formatCode>
                <c:ptCount val="8"/>
                <c:pt idx="0">
                  <c:v>0</c:v>
                </c:pt>
                <c:pt idx="1">
                  <c:v>0</c:v>
                </c:pt>
                <c:pt idx="2">
                  <c:v>0</c:v>
                </c:pt>
                <c:pt idx="3">
                  <c:v>0</c:v>
                </c:pt>
                <c:pt idx="4">
                  <c:v>0</c:v>
                </c:pt>
                <c:pt idx="5">
                  <c:v>0</c:v>
                </c:pt>
                <c:pt idx="6">
                  <c:v>0</c:v>
                </c:pt>
                <c:pt idx="7">
                  <c:v>2.6397515527950312E-2</c:v>
                </c:pt>
              </c:numCache>
            </c:numRef>
          </c:val>
          <c:extLst>
            <c:ext xmlns:c16="http://schemas.microsoft.com/office/drawing/2014/chart" uri="{C3380CC4-5D6E-409C-BE32-E72D297353CC}">
              <c16:uniqueId val="{00000000-C5D5-49FC-B413-82CBDA9700C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c:v>
                </c:pt>
                <c:pt idx="3">
                  <c:v>Petitions, total N=5</c:v>
                </c:pt>
                <c:pt idx="4">
                  <c:v>Detentions, total N=0</c:v>
                </c:pt>
                <c:pt idx="5">
                  <c:v>Referrals, total N=8</c:v>
                </c:pt>
                <c:pt idx="6">
                  <c:v>Arrests, total N=2</c:v>
                </c:pt>
                <c:pt idx="7">
                  <c:v>Population, total N=644</c:v>
                </c:pt>
              </c:strCache>
            </c:strRef>
          </c:cat>
          <c:val>
            <c:numRef>
              <c:f>'Stacked 100%'!$C$7:$C$14</c:f>
              <c:numCache>
                <c:formatCode>0%</c:formatCode>
                <c:ptCount val="8"/>
                <c:pt idx="0">
                  <c:v>0</c:v>
                </c:pt>
                <c:pt idx="1">
                  <c:v>0</c:v>
                </c:pt>
                <c:pt idx="2">
                  <c:v>0</c:v>
                </c:pt>
                <c:pt idx="3">
                  <c:v>0</c:v>
                </c:pt>
                <c:pt idx="4">
                  <c:v>0</c:v>
                </c:pt>
                <c:pt idx="5">
                  <c:v>0</c:v>
                </c:pt>
                <c:pt idx="6">
                  <c:v>0</c:v>
                </c:pt>
                <c:pt idx="7">
                  <c:v>3.7267080745341616E-2</c:v>
                </c:pt>
              </c:numCache>
            </c:numRef>
          </c:val>
          <c:extLst>
            <c:ext xmlns:c16="http://schemas.microsoft.com/office/drawing/2014/chart" uri="{C3380CC4-5D6E-409C-BE32-E72D297353CC}">
              <c16:uniqueId val="{00000001-C5D5-49FC-B413-82CBDA9700C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N=4</c:v>
                </c:pt>
                <c:pt idx="3">
                  <c:v>Petitions, total N=5</c:v>
                </c:pt>
                <c:pt idx="4">
                  <c:v>Detentions, total N=0</c:v>
                </c:pt>
                <c:pt idx="5">
                  <c:v>Referrals, total N=8</c:v>
                </c:pt>
                <c:pt idx="6">
                  <c:v>Arrests, total N=2</c:v>
                </c:pt>
                <c:pt idx="7">
                  <c:v>Population, total N=644</c:v>
                </c:pt>
              </c:strCache>
            </c:strRef>
          </c:cat>
          <c:val>
            <c:numRef>
              <c:f>'Stacked 100%'!$H$7:$H$14</c:f>
              <c:numCache>
                <c:formatCode>0%</c:formatCode>
                <c:ptCount val="8"/>
                <c:pt idx="0">
                  <c:v>0</c:v>
                </c:pt>
                <c:pt idx="1">
                  <c:v>0</c:v>
                </c:pt>
                <c:pt idx="2">
                  <c:v>0</c:v>
                </c:pt>
                <c:pt idx="3">
                  <c:v>0</c:v>
                </c:pt>
                <c:pt idx="4">
                  <c:v>0</c:v>
                </c:pt>
                <c:pt idx="5">
                  <c:v>0</c:v>
                </c:pt>
                <c:pt idx="6">
                  <c:v>0</c:v>
                </c:pt>
                <c:pt idx="7">
                  <c:v>2.6522896493190851E-5</c:v>
                </c:pt>
              </c:numCache>
            </c:numRef>
          </c:val>
          <c:extLst>
            <c:ext xmlns:c16="http://schemas.microsoft.com/office/drawing/2014/chart" uri="{C3380CC4-5D6E-409C-BE32-E72D297353CC}">
              <c16:uniqueId val="{00000002-C5D5-49FC-B413-82CBDA9700C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c:v>
                </c:pt>
                <c:pt idx="3">
                  <c:v>Petitions, total N=5</c:v>
                </c:pt>
                <c:pt idx="4">
                  <c:v>Detentions, total N=0</c:v>
                </c:pt>
                <c:pt idx="5">
                  <c:v>Referrals, total N=8</c:v>
                </c:pt>
                <c:pt idx="6">
                  <c:v>Arrests, total N=2</c:v>
                </c:pt>
                <c:pt idx="7">
                  <c:v>Population, total N=644</c:v>
                </c:pt>
              </c:strCache>
            </c:strRef>
          </c:cat>
          <c:val>
            <c:numRef>
              <c:f>'Stacked 100%'!$I$7:$I$14</c:f>
              <c:numCache>
                <c:formatCode>0%</c:formatCode>
                <c:ptCount val="8"/>
                <c:pt idx="0">
                  <c:v>0</c:v>
                </c:pt>
                <c:pt idx="1">
                  <c:v>0</c:v>
                </c:pt>
                <c:pt idx="2">
                  <c:v>0.5</c:v>
                </c:pt>
                <c:pt idx="3">
                  <c:v>0.6</c:v>
                </c:pt>
                <c:pt idx="4">
                  <c:v>0</c:v>
                </c:pt>
                <c:pt idx="5">
                  <c:v>0.75</c:v>
                </c:pt>
                <c:pt idx="6">
                  <c:v>1</c:v>
                </c:pt>
                <c:pt idx="7">
                  <c:v>0.91925465838509313</c:v>
                </c:pt>
              </c:numCache>
            </c:numRef>
          </c:val>
          <c:extLst>
            <c:ext xmlns:c16="http://schemas.microsoft.com/office/drawing/2014/chart" uri="{C3380CC4-5D6E-409C-BE32-E72D297353CC}">
              <c16:uniqueId val="{00000003-C5D5-49FC-B413-82CBDA9700C9}"/>
            </c:ext>
          </c:extLst>
        </c:ser>
        <c:dLbls>
          <c:showLegendKey val="0"/>
          <c:showVal val="0"/>
          <c:showCatName val="0"/>
          <c:showSerName val="0"/>
          <c:showPercent val="0"/>
          <c:showBubbleSize val="0"/>
        </c:dLbls>
        <c:gapWidth val="150"/>
        <c:overlap val="100"/>
        <c:axId val="133077632"/>
        <c:axId val="13281728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N=4</c:v>
                </c:pt>
                <c:pt idx="3">
                  <c:v>Petitions, total N=5</c:v>
                </c:pt>
                <c:pt idx="4">
                  <c:v>Detentions, total N=0</c:v>
                </c:pt>
                <c:pt idx="5">
                  <c:v>Referrals, total N=8</c:v>
                </c:pt>
                <c:pt idx="6">
                  <c:v>Arrests, total N=2</c:v>
                </c:pt>
                <c:pt idx="7">
                  <c:v>Population, total N=644</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5D5-49FC-B413-82CBDA9700C9}"/>
            </c:ext>
          </c:extLst>
        </c:ser>
        <c:dLbls>
          <c:showLegendKey val="0"/>
          <c:showVal val="0"/>
          <c:showCatName val="0"/>
          <c:showSerName val="0"/>
          <c:showPercent val="0"/>
          <c:showBubbleSize val="0"/>
        </c:dLbls>
        <c:gapWidth val="150"/>
        <c:overlap val="100"/>
        <c:axId val="132820352"/>
        <c:axId val="132818816"/>
      </c:barChart>
      <c:catAx>
        <c:axId val="133077632"/>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32817280"/>
        <c:crosses val="autoZero"/>
        <c:auto val="1"/>
        <c:lblAlgn val="ctr"/>
        <c:lblOffset val="100"/>
        <c:noMultiLvlLbl val="0"/>
      </c:catAx>
      <c:valAx>
        <c:axId val="13281728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33077632"/>
        <c:crosses val="autoZero"/>
        <c:crossBetween val="between"/>
      </c:valAx>
      <c:valAx>
        <c:axId val="132818816"/>
        <c:scaling>
          <c:orientation val="minMax"/>
        </c:scaling>
        <c:delete val="1"/>
        <c:axPos val="t"/>
        <c:numFmt formatCode="0%" sourceLinked="1"/>
        <c:majorTickMark val="out"/>
        <c:minorTickMark val="none"/>
        <c:tickLblPos val="nextTo"/>
        <c:crossAx val="132820352"/>
        <c:crosses val="max"/>
        <c:crossBetween val="between"/>
      </c:valAx>
      <c:catAx>
        <c:axId val="132820352"/>
        <c:scaling>
          <c:orientation val="minMax"/>
        </c:scaling>
        <c:delete val="1"/>
        <c:axPos val="l"/>
        <c:numFmt formatCode="General" sourceLinked="1"/>
        <c:majorTickMark val="out"/>
        <c:minorTickMark val="none"/>
        <c:tickLblPos val="nextTo"/>
        <c:crossAx val="13281881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8" sqref="C8"/>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644</v>
      </c>
      <c r="C6" s="11">
        <v>592</v>
      </c>
      <c r="D6" s="11">
        <v>17</v>
      </c>
      <c r="E6" s="11">
        <v>24</v>
      </c>
      <c r="F6" s="11">
        <v>2</v>
      </c>
      <c r="G6" s="11"/>
      <c r="H6" s="11">
        <v>9</v>
      </c>
      <c r="I6" s="11"/>
      <c r="J6" s="91">
        <f>SUM(D6:I6)</f>
        <v>52</v>
      </c>
      <c r="K6" s="92"/>
    </row>
    <row r="7" spans="1:11" ht="15.75" customHeight="1" thickBot="1">
      <c r="A7" s="10" t="s">
        <v>8</v>
      </c>
      <c r="B7" s="11">
        <f t="shared" ref="B7:B15" si="0">SUM(C7:I7)+K7</f>
        <v>2</v>
      </c>
      <c r="C7" s="11">
        <v>2</v>
      </c>
      <c r="D7" s="11"/>
      <c r="E7" s="11"/>
      <c r="F7" s="11"/>
      <c r="G7" s="11"/>
      <c r="H7" s="11"/>
      <c r="I7" s="11"/>
      <c r="J7" s="91">
        <f t="shared" ref="J7:J15" si="1">SUM(D7:I7)</f>
        <v>0</v>
      </c>
      <c r="K7" s="92"/>
    </row>
    <row r="8" spans="1:11" ht="15.75" customHeight="1" thickBot="1">
      <c r="A8" s="10" t="s">
        <v>9</v>
      </c>
      <c r="B8" s="11">
        <f t="shared" si="0"/>
        <v>8</v>
      </c>
      <c r="C8" s="11">
        <v>6</v>
      </c>
      <c r="D8" s="11"/>
      <c r="E8" s="11"/>
      <c r="F8" s="11"/>
      <c r="G8" s="11"/>
      <c r="H8" s="11"/>
      <c r="I8" s="11"/>
      <c r="J8" s="91">
        <f t="shared" si="1"/>
        <v>0</v>
      </c>
      <c r="K8" s="92">
        <v>2</v>
      </c>
    </row>
    <row r="9" spans="1:11" ht="15.75" customHeight="1" thickBot="1">
      <c r="A9" s="10" t="s">
        <v>10</v>
      </c>
      <c r="B9" s="11">
        <f t="shared" si="0"/>
        <v>1</v>
      </c>
      <c r="C9" s="11">
        <v>1</v>
      </c>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5</v>
      </c>
      <c r="C11" s="11">
        <v>3</v>
      </c>
      <c r="D11" s="11"/>
      <c r="E11" s="11"/>
      <c r="F11" s="11"/>
      <c r="G11" s="11"/>
      <c r="H11" s="11"/>
      <c r="I11" s="11"/>
      <c r="J11" s="91">
        <f t="shared" si="1"/>
        <v>0</v>
      </c>
      <c r="K11" s="92">
        <v>2</v>
      </c>
    </row>
    <row r="12" spans="1:11" ht="15.75" customHeight="1" thickBot="1">
      <c r="A12" s="10" t="s">
        <v>13</v>
      </c>
      <c r="B12" s="11">
        <f t="shared" si="0"/>
        <v>4</v>
      </c>
      <c r="C12" s="11">
        <v>2</v>
      </c>
      <c r="D12" s="11"/>
      <c r="E12" s="11"/>
      <c r="F12" s="11"/>
      <c r="G12" s="11"/>
      <c r="H12" s="11"/>
      <c r="I12" s="11"/>
      <c r="J12" s="91">
        <f t="shared" si="1"/>
        <v>0</v>
      </c>
      <c r="K12" s="92">
        <v>2</v>
      </c>
    </row>
    <row r="13" spans="1:11" ht="15.75" customHeight="1" thickBot="1">
      <c r="A13" s="10" t="s">
        <v>133</v>
      </c>
      <c r="B13" s="11">
        <f t="shared" si="0"/>
        <v>6</v>
      </c>
      <c r="C13" s="11">
        <v>4</v>
      </c>
      <c r="D13" s="11"/>
      <c r="E13" s="11"/>
      <c r="F13" s="11"/>
      <c r="G13" s="11"/>
      <c r="H13" s="11"/>
      <c r="I13" s="11"/>
      <c r="J13" s="91">
        <f t="shared" si="1"/>
        <v>0</v>
      </c>
      <c r="K13" s="92">
        <v>2</v>
      </c>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Alcona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3.3783783783783785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590</v>
      </c>
      <c r="R7" s="42">
        <f t="shared" ref="R7:R15" si="5">SUM(N7:Q7)</f>
        <v>592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v>
      </c>
      <c r="D8" s="34">
        <f>IF((AND(C67&gt;0,C8&gt;0)),(C8/C67),0)</f>
        <v>300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v>
      </c>
      <c r="Q8" s="42">
        <f>(C$67*L67)-C8</f>
        <v>-4</v>
      </c>
      <c r="R8" s="42">
        <f t="shared" si="5"/>
        <v>2.0499999999999998</v>
      </c>
      <c r="S8" s="30">
        <f t="shared" si="6"/>
        <v>0.18450000000000003</v>
      </c>
      <c r="T8" s="30">
        <f t="shared" si="7"/>
        <v>-2.3700000000000006</v>
      </c>
      <c r="U8" s="31">
        <f t="shared" si="8"/>
        <v>-7.7848101265822783E-2</v>
      </c>
    </row>
    <row r="9" spans="2:21" ht="18" customHeight="1">
      <c r="B9" s="32" t="str">
        <f>'Data Entry'!A9</f>
        <v xml:space="preserve">4. Cases Diverted </v>
      </c>
      <c r="C9" s="33">
        <f>'Data Entry'!C9</f>
        <v>1</v>
      </c>
      <c r="D9" s="34">
        <f>IF((AND(C68&gt;0,C9&gt;0)),((C9/C68)),0)</f>
        <v>16.666666666666668</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5</v>
      </c>
      <c r="R9" s="42">
        <f t="shared" si="5"/>
        <v>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50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v>
      </c>
      <c r="Q11" s="42">
        <f>(C$68*L68)-C11</f>
        <v>3</v>
      </c>
      <c r="R11" s="42">
        <f t="shared" si="5"/>
        <v>6</v>
      </c>
      <c r="S11" s="30">
        <f t="shared" si="6"/>
        <v>0</v>
      </c>
      <c r="T11" s="30">
        <f t="shared" si="7"/>
        <v>0</v>
      </c>
      <c r="U11" s="31" t="str">
        <f t="shared" si="8"/>
        <v>- -</v>
      </c>
    </row>
    <row r="12" spans="2:21" ht="18" customHeight="1">
      <c r="B12" s="32" t="str">
        <f>'Data Entry'!A12</f>
        <v>7. Cases Resulting in Delinquent Findings</v>
      </c>
      <c r="C12" s="33">
        <f>'Data Entry'!C12</f>
        <v>2</v>
      </c>
      <c r="D12" s="34">
        <f>IF(((AND(C69&gt;0,C12&gt;0))),(C12/(C69)),0)</f>
        <v>66.666666666666671</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1</v>
      </c>
      <c r="R12" s="42">
        <f t="shared" si="5"/>
        <v>3</v>
      </c>
      <c r="S12" s="30">
        <f t="shared" si="6"/>
        <v>0</v>
      </c>
      <c r="T12" s="30">
        <f t="shared" si="7"/>
        <v>0</v>
      </c>
      <c r="U12" s="31" t="str">
        <f t="shared" si="8"/>
        <v>- -</v>
      </c>
    </row>
    <row r="13" spans="2:21" ht="18" customHeight="1">
      <c r="B13" s="32" t="str">
        <f>'Data Entry'!A13</f>
        <v>8. Cases Resulting in Probation Placement</v>
      </c>
      <c r="C13" s="33">
        <f>'Data Entry'!C13</f>
        <v>4</v>
      </c>
      <c r="D13" s="34">
        <f>IF(((AND(C70&gt;0,C13&gt;0))),(C13/(C70)),0)</f>
        <v>200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0.59199999999999997</v>
      </c>
      <c r="D42" s="56">
        <f>E6/1000</f>
        <v>0</v>
      </c>
      <c r="E42" s="56">
        <f>MAX(C42:D42)</f>
        <v>0.59199999999999997</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0.06</v>
      </c>
      <c r="D44" s="56">
        <f>E8/100</f>
        <v>0</v>
      </c>
      <c r="E44" s="56">
        <f>MAX(C44:D44,0)</f>
        <v>0.06</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0.02</v>
      </c>
      <c r="D46" s="49">
        <f>E12/100</f>
        <v>0</v>
      </c>
      <c r="E46" s="56">
        <f>MAX(C46:D46)</f>
        <v>0.02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0.59199999999999997</v>
      </c>
      <c r="D48" s="56">
        <f>D42</f>
        <v>0</v>
      </c>
      <c r="E48" s="56">
        <f>MAX(C48:D48)</f>
        <v>0.59199999999999997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0.59199999999999997</v>
      </c>
      <c r="D54" s="56">
        <f>D48</f>
        <v>0</v>
      </c>
      <c r="E54" s="56">
        <f>MAX(C54:D54)</f>
        <v>0.59199999999999997</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0.06</v>
      </c>
      <c r="D56" s="49">
        <f t="shared" si="10"/>
        <v>0</v>
      </c>
      <c r="E56" s="49">
        <f>MAX(C56:D56)</f>
        <v>0.06</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0.59199999999999997</v>
      </c>
      <c r="D60" s="56">
        <f>D54</f>
        <v>0</v>
      </c>
      <c r="E60" s="56">
        <f>MAX(C60:D60)</f>
        <v>0.59199999999999997</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0.06</v>
      </c>
      <c r="D62" s="49">
        <f t="shared" si="11"/>
        <v>0</v>
      </c>
      <c r="E62" s="49">
        <f>MAX(C62:D62)</f>
        <v>0.06</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0.59199999999999997</v>
      </c>
      <c r="D66" s="56">
        <f>D60</f>
        <v>0</v>
      </c>
      <c r="E66" s="56">
        <f>MAX(C66:D66)</f>
        <v>0.59199999999999997</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0.06</v>
      </c>
      <c r="D68" s="49">
        <f t="shared" si="12"/>
        <v>0</v>
      </c>
      <c r="E68" s="49">
        <f>MAX(C68:D68)</f>
        <v>0.06</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Alcona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592</v>
      </c>
      <c r="D6" s="34"/>
      <c r="E6" s="33">
        <f>'Data Entry'!J6</f>
        <v>52</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3.3783783783783785</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52</v>
      </c>
      <c r="P7" s="42">
        <f t="shared" ref="P7:P15" si="4">C7</f>
        <v>2</v>
      </c>
      <c r="Q7" s="42">
        <f>C6-C7</f>
        <v>590</v>
      </c>
      <c r="R7" s="42">
        <f t="shared" ref="R7:R15" si="5">SUM(N7:Q7)</f>
        <v>644</v>
      </c>
      <c r="S7" s="30">
        <f t="shared" ref="S7:S15" si="6">R7*((((N7*Q7)-(O7*P7))^2))</f>
        <v>6965504</v>
      </c>
      <c r="T7" s="30">
        <f t="shared" ref="T7:T15" si="7">(N7+O7)*(P7+Q7)*(N7+P7)*(O7+Q7)</f>
        <v>39526656</v>
      </c>
      <c r="U7" s="31">
        <f t="shared" ref="U7:U15" si="8">IF((S7&gt;0),S7/T7,"- -")</f>
        <v>0.17622295192388651</v>
      </c>
    </row>
    <row r="8" spans="2:21" ht="18" customHeight="1">
      <c r="B8" s="32" t="str">
        <f>'Data Entry'!A8</f>
        <v>3. Refer to Juvenile Court</v>
      </c>
      <c r="C8" s="33">
        <f>'Data Entry'!C8</f>
        <v>6</v>
      </c>
      <c r="D8" s="34">
        <f>IF((AND(C67&gt;0,C8&gt;0)),(C8/C67),0)</f>
        <v>300</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v>
      </c>
      <c r="Q8" s="42">
        <f>(C$67*L67)-C8</f>
        <v>-4</v>
      </c>
      <c r="R8" s="42">
        <f t="shared" si="5"/>
        <v>2.0499999999999998</v>
      </c>
      <c r="S8" s="30">
        <f t="shared" si="6"/>
        <v>0.18450000000000003</v>
      </c>
      <c r="T8" s="30">
        <f t="shared" si="7"/>
        <v>-2.3700000000000006</v>
      </c>
      <c r="U8" s="31">
        <f t="shared" si="8"/>
        <v>-7.7848101265822783E-2</v>
      </c>
    </row>
    <row r="9" spans="2:21" ht="18" customHeight="1">
      <c r="B9" s="32" t="str">
        <f>'Data Entry'!A9</f>
        <v xml:space="preserve">4. Cases Diverted </v>
      </c>
      <c r="C9" s="33">
        <f>'Data Entry'!C9</f>
        <v>1</v>
      </c>
      <c r="D9" s="34">
        <f>IF((AND(C68&gt;0,C9&gt;0)),((C9/C68)),0)</f>
        <v>16.666666666666668</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5</v>
      </c>
      <c r="R9" s="42">
        <f t="shared" si="5"/>
        <v>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50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v>
      </c>
      <c r="Q11" s="42">
        <f>(C$68*L68)-C11</f>
        <v>3</v>
      </c>
      <c r="R11" s="42">
        <f t="shared" si="5"/>
        <v>6</v>
      </c>
      <c r="S11" s="30">
        <f t="shared" si="6"/>
        <v>0</v>
      </c>
      <c r="T11" s="30">
        <f t="shared" si="7"/>
        <v>0</v>
      </c>
      <c r="U11" s="31" t="str">
        <f t="shared" si="8"/>
        <v>- -</v>
      </c>
    </row>
    <row r="12" spans="2:21" ht="18" customHeight="1">
      <c r="B12" s="32" t="str">
        <f>'Data Entry'!A12</f>
        <v>7. Cases Resulting in Delinquent Findings</v>
      </c>
      <c r="C12" s="33">
        <f>'Data Entry'!C12</f>
        <v>2</v>
      </c>
      <c r="D12" s="34">
        <f>IF(((AND(C69&gt;0,C12&gt;0))),(C12/(C69)),0)</f>
        <v>66.666666666666671</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1</v>
      </c>
      <c r="R12" s="42">
        <f t="shared" si="5"/>
        <v>3</v>
      </c>
      <c r="S12" s="30">
        <f t="shared" si="6"/>
        <v>0</v>
      </c>
      <c r="T12" s="30">
        <f t="shared" si="7"/>
        <v>0</v>
      </c>
      <c r="U12" s="31" t="str">
        <f t="shared" si="8"/>
        <v>- -</v>
      </c>
    </row>
    <row r="13" spans="2:21" ht="18" customHeight="1">
      <c r="B13" s="32" t="str">
        <f>'Data Entry'!A13</f>
        <v>8. Cases Resulting in Probation Placement</v>
      </c>
      <c r="C13" s="33">
        <f>'Data Entry'!C13</f>
        <v>4</v>
      </c>
      <c r="D13" s="34">
        <f>IF(((AND(C70&gt;0,C13&gt;0))),(C13/(C70)),0)</f>
        <v>200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0.59199999999999997</v>
      </c>
      <c r="D42" s="56">
        <f>E6/1000</f>
        <v>5.1999999999999998E-2</v>
      </c>
      <c r="E42" s="56">
        <f>MAX(C42:D42)</f>
        <v>0.59199999999999997</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0.06</v>
      </c>
      <c r="D44" s="56">
        <f>E8/100</f>
        <v>0</v>
      </c>
      <c r="E44" s="56">
        <f>MAX(C44:D44,0)</f>
        <v>0.06</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0.02</v>
      </c>
      <c r="D46" s="49">
        <f>E12/100</f>
        <v>0</v>
      </c>
      <c r="E46" s="56">
        <f>MAX(C46:D46)</f>
        <v>0.02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0.59199999999999997</v>
      </c>
      <c r="D48" s="56">
        <f>D42</f>
        <v>5.1999999999999998E-2</v>
      </c>
      <c r="E48" s="56">
        <f>MAX(C48:D48)</f>
        <v>0.59199999999999997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0.59199999999999997</v>
      </c>
      <c r="D54" s="56">
        <f>D48</f>
        <v>5.1999999999999998E-2</v>
      </c>
      <c r="E54" s="56">
        <f>MAX(C54:D54)</f>
        <v>0.59199999999999997</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0.06</v>
      </c>
      <c r="D56" s="49">
        <f t="shared" si="10"/>
        <v>0</v>
      </c>
      <c r="E56" s="49">
        <f>MAX(C56:D56)</f>
        <v>0.06</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0.59199999999999997</v>
      </c>
      <c r="D60" s="56">
        <f>D54</f>
        <v>5.1999999999999998E-2</v>
      </c>
      <c r="E60" s="56">
        <f>MAX(C60:D60)</f>
        <v>0.59199999999999997</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0.06</v>
      </c>
      <c r="D62" s="49">
        <f t="shared" si="11"/>
        <v>0</v>
      </c>
      <c r="E62" s="49">
        <f>MAX(C62:D62)</f>
        <v>0.06</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0.59199999999999997</v>
      </c>
      <c r="D66" s="56">
        <f>D60</f>
        <v>5.1999999999999998E-2</v>
      </c>
      <c r="E66" s="56">
        <f>MAX(C66:D66)</f>
        <v>0.59199999999999997</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0.06</v>
      </c>
      <c r="D68" s="49">
        <f t="shared" si="12"/>
        <v>0</v>
      </c>
      <c r="E68" s="49">
        <f>MAX(C68:D68)</f>
        <v>0.06</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Alcona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644</v>
      </c>
      <c r="D3" s="57">
        <f>'Data Entry'!C6</f>
        <v>592</v>
      </c>
      <c r="E3" s="57">
        <f>'Data Entry'!D6</f>
        <v>17</v>
      </c>
      <c r="F3" s="57">
        <f>'Data Entry'!E6</f>
        <v>24</v>
      </c>
      <c r="G3" s="57">
        <f>'Data Entry'!F6</f>
        <v>2</v>
      </c>
      <c r="H3" s="57">
        <f>'Data Entry'!G6</f>
        <v>0</v>
      </c>
      <c r="I3" s="57">
        <f>'Data Entry'!H6</f>
        <v>9</v>
      </c>
      <c r="J3" s="57">
        <f>'Data Entry'!I6</f>
        <v>0</v>
      </c>
      <c r="K3" s="57">
        <f>'Data Entry'!J6</f>
        <v>52</v>
      </c>
    </row>
    <row r="4" spans="2:11" ht="15" customHeight="1">
      <c r="B4" s="16" t="s">
        <v>8</v>
      </c>
      <c r="C4" s="1">
        <f>IF((C$3&gt;0),(1000*('Data Entry'!B7/'Data Entry'!B$6)), 0)</f>
        <v>3.1055900621118009</v>
      </c>
      <c r="D4" s="1">
        <f>IF((D$3&gt;0),(1000*('Data Entry'!C7/'Data Entry'!C$6)), 0)</f>
        <v>3.3783783783783785</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12.422360248447204</v>
      </c>
      <c r="D5" s="1">
        <f>IF((D$3&gt;0),(1000*('Data Entry'!C8/'Data Entry'!C$6)), 0)</f>
        <v>10.135135135135135</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1.5527950310559004</v>
      </c>
      <c r="D6" s="1">
        <f>IF((D$3&gt;0),(1000*('Data Entry'!C9/'Data Entry'!C$6)), 0)</f>
        <v>1.6891891891891893</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7.7639751552795033</v>
      </c>
      <c r="D8" s="1">
        <f>IF((D$3&gt;0),(1000*('Data Entry'!C11/'Data Entry'!C$6)), 0)</f>
        <v>5.0675675675675675</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6.2111801242236018</v>
      </c>
      <c r="D9" s="1">
        <f>IF((D$3&gt;0),(1000*('Data Entry'!C12/'Data Entry'!C$6)), 0)</f>
        <v>3.3783783783783785</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9.316770186335404</v>
      </c>
      <c r="D10" s="1">
        <f>IF((D$3&gt;0),(1000*('Data Entry'!C13/'Data Entry'!C$6)), 0)</f>
        <v>6.756756756756757</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Alcona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opLeftCell="A3" zoomScaleNormal="100" workbookViewId="0">
      <selection activeCell="E8" sqref="E8"/>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Alcona</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592</v>
      </c>
      <c r="D7" s="104">
        <f>'Data Entry'!D6</f>
        <v>17</v>
      </c>
      <c r="E7" s="105"/>
      <c r="F7" s="106">
        <f>'Data Entry'!E6</f>
        <v>24</v>
      </c>
      <c r="G7" s="105"/>
      <c r="H7" s="106">
        <f>'Data Entry'!F6</f>
        <v>2</v>
      </c>
      <c r="I7" s="105"/>
      <c r="J7" s="106">
        <f>'Data Entry'!G6</f>
        <v>0</v>
      </c>
      <c r="K7" s="105"/>
      <c r="L7" s="106">
        <f>'Data Entry'!H6</f>
        <v>9</v>
      </c>
      <c r="M7" s="105"/>
      <c r="N7" s="106">
        <f>'Data Entry'!I6</f>
        <v>0</v>
      </c>
      <c r="O7" s="105"/>
      <c r="P7" s="106">
        <f>'Data Entry'!J6</f>
        <v>52</v>
      </c>
      <c r="Q7" s="107"/>
    </row>
    <row r="8" spans="2:26" s="1" customFormat="1" ht="15" customHeight="1">
      <c r="B8" s="142" t="s">
        <v>8</v>
      </c>
      <c r="C8" s="103">
        <f>'Data Entry'!C7</f>
        <v>2</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v>12</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v>2</v>
      </c>
      <c r="O9" s="109" t="str">
        <f>'Other - Mixed'!G8</f>
        <v>*</v>
      </c>
      <c r="P9" s="110">
        <v>14</v>
      </c>
      <c r="Q9" s="111" t="str">
        <f>'All Minorities'!G8</f>
        <v>**</v>
      </c>
      <c r="R9"/>
      <c r="T9" s="1">
        <f>'Black or African-American'!L8</f>
        <v>40</v>
      </c>
      <c r="U9" s="1">
        <f>Hispanic!L8</f>
        <v>40</v>
      </c>
      <c r="V9" s="1">
        <f>Asian!L8</f>
        <v>139</v>
      </c>
      <c r="W9" s="1">
        <f>Hawaiian!L8</f>
        <v>139</v>
      </c>
      <c r="X9" s="1">
        <f>'Am Indian'!L8</f>
        <v>40</v>
      </c>
      <c r="Y9" s="1">
        <f>'Other - Mixed'!L8</f>
        <v>139</v>
      </c>
      <c r="Z9" s="1">
        <f>'All Minorities'!L8</f>
        <v>40</v>
      </c>
    </row>
    <row r="10" spans="2:26" s="1" customFormat="1" ht="15" customHeight="1">
      <c r="B10" s="142" t="s">
        <v>10</v>
      </c>
      <c r="C10" s="103">
        <f>'Data Entry'!C9</f>
        <v>1</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v>2</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v>0</v>
      </c>
      <c r="O11" s="109"/>
      <c r="P11" s="110">
        <v>2</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v>8</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v>2</v>
      </c>
      <c r="O12" s="113" t="str">
        <f>'Other - Mixed'!G11</f>
        <v>*</v>
      </c>
      <c r="P12" s="114">
        <v>10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v>6</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v>2</v>
      </c>
      <c r="O13" s="109" t="str">
        <f>'Other - Mixed'!G12</f>
        <v>*</v>
      </c>
      <c r="P13" s="110">
        <v>8</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v>12</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v>2</v>
      </c>
      <c r="O14" s="113" t="str">
        <f>'Other - Mixed'!G13</f>
        <v>*</v>
      </c>
      <c r="P14" s="114">
        <v>14</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v>5</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v>2</v>
      </c>
      <c r="O15" s="109" t="str">
        <f>'Other - Mixed'!G14</f>
        <v>*</v>
      </c>
      <c r="P15" s="110">
        <v>7</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Alcona</v>
      </c>
    </row>
    <row r="6" spans="1:12">
      <c r="A6" s="135" t="str">
        <f>CONCATENATE("Percentage of Minorities at Stages of the Juvenile Justice System, ", A5, " 2022")</f>
        <v>Percentage of Minorities at Stages of the Juvenile Justice System, County: Alcona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11.384615384615381</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11.384615384615381</v>
      </c>
    </row>
    <row r="9" spans="1:12">
      <c r="A9" s="128" t="str">
        <f>CONCATENATE("Delinquent Findings, total N=", 'Data Entry'!B12)</f>
        <v>Delinquent Findings, total N=4</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0.5</v>
      </c>
      <c r="K9" s="96" t="str">
        <f t="shared" si="0"/>
        <v>Delinquent Findings, total N=4</v>
      </c>
      <c r="L9">
        <f>I14/(SUM(B14:G14))</f>
        <v>11.384615384615381</v>
      </c>
    </row>
    <row r="10" spans="1:12">
      <c r="A10" s="128" t="str">
        <f>CONCATENATE("Petitions, total N=", 'Data Entry'!B11)</f>
        <v>Petitions, total N=5</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0.6</v>
      </c>
      <c r="K10" s="96" t="str">
        <f t="shared" si="0"/>
        <v>Petitions, total N=5</v>
      </c>
      <c r="L10">
        <f>I14/(SUM(B14:G14))</f>
        <v>11.384615384615381</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11.384615384615381</v>
      </c>
    </row>
    <row r="12" spans="1:12">
      <c r="A12" s="128" t="str">
        <f>CONCATENATE("Referrals, total N=", 'Data Entry'!B8)</f>
        <v>Referrals, total N=8</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0.75</v>
      </c>
      <c r="K12" s="96" t="str">
        <f t="shared" si="0"/>
        <v>Referrals, total N=8</v>
      </c>
      <c r="L12">
        <f>I14/(SUM(B14:G14))</f>
        <v>11.384615384615381</v>
      </c>
    </row>
    <row r="13" spans="1:12">
      <c r="A13" s="128" t="str">
        <f>CONCATENATE("Arrests, total N=", 'Data Entry'!B7)</f>
        <v>Arrests, total N=2</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N=2</v>
      </c>
      <c r="L13">
        <f>I14/(SUM(B14:G14))</f>
        <v>11.384615384615381</v>
      </c>
    </row>
    <row r="14" spans="1:12">
      <c r="A14" s="128" t="str">
        <f>CONCATENATE("Population, total N=", 'Data Entry'!B6)</f>
        <v>Population, total N=644</v>
      </c>
      <c r="B14" s="150">
        <f>'Data Entry'!D6/'Data Entry'!B6</f>
        <v>2.6397515527950312E-2</v>
      </c>
      <c r="C14" s="150">
        <f>'Data Entry'!E6/'Data Entry'!B6</f>
        <v>3.7267080745341616E-2</v>
      </c>
      <c r="D14" s="150">
        <f>'Data Entry'!F6/'Data Entry'!B6</f>
        <v>3.105590062111801E-3</v>
      </c>
      <c r="E14" s="150">
        <f>'Data Entry'!G6/'Data Entry'!B6</f>
        <v>0</v>
      </c>
      <c r="F14" s="150">
        <f>'Data Entry'!H6/'Data Entry'!B6</f>
        <v>1.3975155279503106E-2</v>
      </c>
      <c r="G14" s="150">
        <f>'Data Entry'!I6/'Data Entry'!B6</f>
        <v>0</v>
      </c>
      <c r="H14" s="150">
        <f>SUM(D14:G14)/'Data Entry'!B6</f>
        <v>2.6522896493190851E-5</v>
      </c>
      <c r="I14" s="150">
        <f>'Data Entry'!C6/'Data Entry'!B6</f>
        <v>0.91925465838509313</v>
      </c>
      <c r="K14" s="96" t="str">
        <f t="shared" si="0"/>
        <v>Population, total N=644</v>
      </c>
      <c r="L14">
        <f>I14/(SUM(B14:G14))</f>
        <v>11.384615384615381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Alcona</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592</v>
      </c>
      <c r="D7" s="104">
        <f>'Data Entry'!D6</f>
        <v>17</v>
      </c>
      <c r="E7" s="105"/>
      <c r="F7" s="106">
        <f>'Data Entry'!E6</f>
        <v>24</v>
      </c>
      <c r="G7" s="105"/>
      <c r="H7" s="106">
        <f>'Data Entry'!F6</f>
        <v>2</v>
      </c>
      <c r="I7" s="105"/>
      <c r="J7" s="106">
        <f>'Data Entry'!J6</f>
        <v>52</v>
      </c>
      <c r="K7" s="107"/>
    </row>
    <row r="8" spans="2:30" s="1" customFormat="1" ht="15" customHeight="1">
      <c r="B8" s="121" t="s">
        <v>8</v>
      </c>
      <c r="C8" s="103">
        <f>'Data Entry'!C7</f>
        <v>2</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6</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f>'Black or African-American'!L8</f>
        <v>40</v>
      </c>
      <c r="O9" s="1">
        <f>Hispanic!L8</f>
        <v>40</v>
      </c>
      <c r="P9" s="1">
        <f>Asian!L8</f>
        <v>139</v>
      </c>
      <c r="Q9" s="1">
        <f>Hawaiian!L8</f>
        <v>139</v>
      </c>
      <c r="R9" s="1">
        <f>'Am Indian'!L8</f>
        <v>40</v>
      </c>
      <c r="S9" s="1">
        <f>'Other - Mixed'!L8</f>
        <v>139</v>
      </c>
      <c r="T9" s="1">
        <f>'All Minorities'!L8</f>
        <v>40</v>
      </c>
    </row>
    <row r="10" spans="2:30" s="1" customFormat="1" ht="15" customHeight="1">
      <c r="B10" s="121" t="s">
        <v>10</v>
      </c>
      <c r="C10" s="103">
        <f>'Data Entry'!C9</f>
        <v>1</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3</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2</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4</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tabSelected="1" zoomScale="95" zoomScaleNormal="95" workbookViewId="0">
      <selection activeCell="AA2" sqref="AA2"/>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Alcona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592</v>
      </c>
      <c r="D6" s="34"/>
      <c r="E6" s="33">
        <f>'Data Entry'!D6</f>
        <v>17</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3.3783783783783785</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17</v>
      </c>
      <c r="P7" s="42">
        <f t="shared" ref="P7:P15" si="2">C7</f>
        <v>2</v>
      </c>
      <c r="Q7" s="42">
        <f>C6-C7</f>
        <v>590</v>
      </c>
      <c r="R7" s="42">
        <f t="shared" ref="R7:R15" si="3">SUM(N7:Q7)</f>
        <v>609</v>
      </c>
      <c r="S7" s="30">
        <f t="shared" ref="S7:S15" si="4">R7*((((N7*Q7)-(O7*P7))^2))</f>
        <v>704004</v>
      </c>
      <c r="T7" s="30">
        <f t="shared" ref="T7:T15" si="5">(N7+O7)*(P7+Q7)*(N7+P7)*(O7+Q7)</f>
        <v>12217696</v>
      </c>
      <c r="U7" s="31">
        <f t="shared" ref="U7:U15" si="6">IF((S7&gt;0),S7/T7,"- -")</f>
        <v>5.7621666147201565E-2</v>
      </c>
    </row>
    <row r="8" spans="2:21" ht="18" customHeight="1">
      <c r="B8" s="32" t="str">
        <f>'Data Entry'!A8</f>
        <v>3. Refer to Juvenile Court</v>
      </c>
      <c r="C8" s="33">
        <f>'Data Entry'!C8</f>
        <v>6</v>
      </c>
      <c r="D8" s="34">
        <f>IF((AND(C67&gt;0,C8&gt;0)),(C8/C67),0)</f>
        <v>300</v>
      </c>
      <c r="E8" s="33">
        <f>'Data Entry'!D8</f>
        <v>0</v>
      </c>
      <c r="F8" s="217">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6</v>
      </c>
      <c r="Q8" s="42">
        <f>(C$67*L67)-C8</f>
        <v>-4</v>
      </c>
      <c r="R8" s="42">
        <f t="shared" si="3"/>
        <v>2.0499999999999998</v>
      </c>
      <c r="S8" s="30">
        <f t="shared" si="4"/>
        <v>0.18450000000000003</v>
      </c>
      <c r="T8" s="30">
        <f t="shared" si="5"/>
        <v>-2.3700000000000006</v>
      </c>
      <c r="U8" s="31">
        <f t="shared" si="6"/>
        <v>-7.7848101265822783E-2</v>
      </c>
    </row>
    <row r="9" spans="2:21" ht="18" customHeight="1">
      <c r="B9" s="32" t="str">
        <f>'Data Entry'!A9</f>
        <v xml:space="preserve">4. Cases Diverted </v>
      </c>
      <c r="C9" s="33">
        <f>'Data Entry'!C9</f>
        <v>1</v>
      </c>
      <c r="D9" s="34">
        <f>IF((AND(C68&gt;0,C9&gt;0)),((C9/C68)),0)</f>
        <v>16.666666666666668</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1</v>
      </c>
      <c r="Q9" s="42">
        <f>(C$68*L68)-C9</f>
        <v>5</v>
      </c>
      <c r="R9" s="42">
        <f t="shared" si="3"/>
        <v>6</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6</v>
      </c>
      <c r="R10" s="42">
        <f t="shared" si="3"/>
        <v>6</v>
      </c>
      <c r="S10" s="30">
        <f t="shared" si="4"/>
        <v>0</v>
      </c>
      <c r="T10" s="30">
        <f t="shared" si="5"/>
        <v>0</v>
      </c>
      <c r="U10" s="31" t="str">
        <f t="shared" si="6"/>
        <v>- -</v>
      </c>
    </row>
    <row r="11" spans="2:21" ht="18" customHeight="1">
      <c r="B11" s="32" t="str">
        <f>'Data Entry'!A11</f>
        <v>6. Cases Petitioned (Charge Filed)</v>
      </c>
      <c r="C11" s="33">
        <f>'Data Entry'!C11</f>
        <v>3</v>
      </c>
      <c r="D11" s="34">
        <f>IF(((AND(C68&gt;0,C11&gt;0))),(C11/(C68)),0)</f>
        <v>50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3</v>
      </c>
      <c r="Q11" s="42">
        <f>(C$68*L68)-C11</f>
        <v>3</v>
      </c>
      <c r="R11" s="42">
        <f t="shared" si="3"/>
        <v>6</v>
      </c>
      <c r="S11" s="30">
        <f t="shared" si="4"/>
        <v>0</v>
      </c>
      <c r="T11" s="30">
        <f t="shared" si="5"/>
        <v>0</v>
      </c>
      <c r="U11" s="31" t="str">
        <f t="shared" si="6"/>
        <v>- -</v>
      </c>
    </row>
    <row r="12" spans="2:21" ht="18" customHeight="1">
      <c r="B12" s="32" t="str">
        <f>'Data Entry'!A12</f>
        <v>7. Cases Resulting in Delinquent Findings</v>
      </c>
      <c r="C12" s="33">
        <f>'Data Entry'!C12</f>
        <v>2</v>
      </c>
      <c r="D12" s="34">
        <f>IF(((AND(C69&gt;0,C12&gt;0))),(C12/(C69)),0)</f>
        <v>66.666666666666671</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2</v>
      </c>
      <c r="Q12" s="42">
        <f>(C69*L69)-C12</f>
        <v>1</v>
      </c>
      <c r="R12" s="42">
        <f t="shared" si="3"/>
        <v>3</v>
      </c>
      <c r="S12" s="30">
        <f t="shared" si="4"/>
        <v>0</v>
      </c>
      <c r="T12" s="30">
        <f t="shared" si="5"/>
        <v>0</v>
      </c>
      <c r="U12" s="31" t="str">
        <f t="shared" si="6"/>
        <v>- -</v>
      </c>
    </row>
    <row r="13" spans="2:21" ht="18" customHeight="1">
      <c r="B13" s="32" t="str">
        <f>'Data Entry'!A13</f>
        <v>8. Cases Resulting in Probation Placement</v>
      </c>
      <c r="C13" s="33">
        <f>'Data Entry'!C13</f>
        <v>4</v>
      </c>
      <c r="D13" s="34">
        <f>IF(((AND(C70&gt;0,C13&gt;0))),(C13/(C70)),0)</f>
        <v>200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4</v>
      </c>
      <c r="Q13" s="42">
        <f>(C70*L70)-C13</f>
        <v>-2</v>
      </c>
      <c r="R13" s="42">
        <f t="shared" si="3"/>
        <v>2</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2</v>
      </c>
      <c r="R14" s="42">
        <f t="shared" si="3"/>
        <v>2</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3</v>
      </c>
      <c r="R15" s="42">
        <f t="shared" si="3"/>
        <v>3</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0.59199999999999997</v>
      </c>
      <c r="D42" s="56">
        <f>E6/1000</f>
        <v>1.7000000000000001E-2</v>
      </c>
      <c r="E42" s="56">
        <f>MAX(C42:D42)</f>
        <v>0.59199999999999997</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0.06</v>
      </c>
      <c r="D44" s="56">
        <f>E8/100</f>
        <v>0</v>
      </c>
      <c r="E44" s="56">
        <f>MAX(C44:D44,0)</f>
        <v>0.06</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0.02</v>
      </c>
      <c r="D46" s="49">
        <f>E12/100</f>
        <v>0</v>
      </c>
      <c r="E46" s="56">
        <f>MAX(C46:D46)</f>
        <v>0.02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0.59199999999999997</v>
      </c>
      <c r="D48" s="56">
        <f>D42</f>
        <v>1.7000000000000001E-2</v>
      </c>
      <c r="E48" s="56">
        <f>MAX(C48:D48)</f>
        <v>0.59199999999999997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0.59199999999999997</v>
      </c>
      <c r="D54" s="56">
        <f>D48</f>
        <v>1.7000000000000001E-2</v>
      </c>
      <c r="E54" s="56">
        <f>MAX(C54:D54)</f>
        <v>0.59199999999999997</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0.06</v>
      </c>
      <c r="D56" s="49">
        <f t="shared" si="10"/>
        <v>0</v>
      </c>
      <c r="E56" s="49">
        <f>MAX(C56:D56)</f>
        <v>0.06</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0.59199999999999997</v>
      </c>
      <c r="D60" s="56">
        <f>D54</f>
        <v>1.7000000000000001E-2</v>
      </c>
      <c r="E60" s="56">
        <f>MAX(C60:D60)</f>
        <v>0.59199999999999997</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0.06</v>
      </c>
      <c r="D62" s="49">
        <f t="shared" si="11"/>
        <v>0</v>
      </c>
      <c r="E62" s="49">
        <f>MAX(C62:D62)</f>
        <v>0.06</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0.59199999999999997</v>
      </c>
      <c r="D66" s="56">
        <f>D60</f>
        <v>1.7000000000000001E-2</v>
      </c>
      <c r="E66" s="56">
        <f>MAX(C66:D66)</f>
        <v>0.59199999999999997</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0.06</v>
      </c>
      <c r="D68" s="49">
        <f t="shared" si="12"/>
        <v>0</v>
      </c>
      <c r="E68" s="49">
        <f>MAX(C68:D68)</f>
        <v>0.06</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D7" sqref="D7"/>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Alcona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592</v>
      </c>
      <c r="D6" s="34"/>
      <c r="E6" s="33">
        <f>'Data Entry'!F6</f>
        <v>2</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3.3783783783783785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v>
      </c>
      <c r="P7" s="42">
        <f t="shared" ref="P7:P15" si="4">C7</f>
        <v>2</v>
      </c>
      <c r="Q7" s="42">
        <f>C6-C7</f>
        <v>590</v>
      </c>
      <c r="R7" s="42">
        <f t="shared" ref="R7:R15" si="5">SUM(N7:Q7)</f>
        <v>594</v>
      </c>
      <c r="S7" s="30">
        <f t="shared" ref="S7:S15" si="6">R7*((((N7*Q7)-(O7*P7))^2))</f>
        <v>9504</v>
      </c>
      <c r="T7" s="30">
        <f t="shared" ref="T7:T15" si="7">(N7+O7)*(P7+Q7)*(N7+P7)*(O7+Q7)</f>
        <v>1401856</v>
      </c>
      <c r="U7" s="31">
        <f t="shared" ref="U7:U15" si="8">IF((S7&gt;0),S7/T7,"- -")</f>
        <v>6.7795836376917454E-3</v>
      </c>
    </row>
    <row r="8" spans="2:21" ht="18" customHeight="1">
      <c r="B8" s="32" t="str">
        <f>'Data Entry'!A8</f>
        <v>3. Refer to Juvenile Court</v>
      </c>
      <c r="C8" s="33">
        <f>'Data Entry'!C8</f>
        <v>6</v>
      </c>
      <c r="D8" s="34">
        <f>IF((AND(C67&gt;0,C8&gt;0)),(C8/C67),0)</f>
        <v>300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v>
      </c>
      <c r="Q8" s="42">
        <f>(C$67*L67)-C8</f>
        <v>-4</v>
      </c>
      <c r="R8" s="42">
        <f t="shared" si="5"/>
        <v>2.0499999999999998</v>
      </c>
      <c r="S8" s="30">
        <f t="shared" si="6"/>
        <v>0.18450000000000003</v>
      </c>
      <c r="T8" s="30">
        <f t="shared" si="7"/>
        <v>-2.3700000000000006</v>
      </c>
      <c r="U8" s="31">
        <f t="shared" si="8"/>
        <v>-7.7848101265822783E-2</v>
      </c>
    </row>
    <row r="9" spans="2:21" ht="18" customHeight="1">
      <c r="B9" s="32" t="str">
        <f>'Data Entry'!A9</f>
        <v xml:space="preserve">4. Cases Diverted </v>
      </c>
      <c r="C9" s="33">
        <f>'Data Entry'!C9</f>
        <v>1</v>
      </c>
      <c r="D9" s="34">
        <f>IF((AND(C68&gt;0,C9&gt;0)),((C9/C68)),0)</f>
        <v>16.666666666666668</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5</v>
      </c>
      <c r="R9" s="42">
        <f t="shared" si="5"/>
        <v>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50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v>
      </c>
      <c r="Q11" s="42">
        <f>(C$68*L68)-C11</f>
        <v>3</v>
      </c>
      <c r="R11" s="42">
        <f t="shared" si="5"/>
        <v>6</v>
      </c>
      <c r="S11" s="30">
        <f t="shared" si="6"/>
        <v>0</v>
      </c>
      <c r="T11" s="30">
        <f t="shared" si="7"/>
        <v>0</v>
      </c>
      <c r="U11" s="31" t="str">
        <f t="shared" si="8"/>
        <v>- -</v>
      </c>
    </row>
    <row r="12" spans="2:21" ht="18" customHeight="1">
      <c r="B12" s="32" t="str">
        <f>'Data Entry'!A12</f>
        <v>7. Cases Resulting in Delinquent Findings</v>
      </c>
      <c r="C12" s="33">
        <f>'Data Entry'!C12</f>
        <v>2</v>
      </c>
      <c r="D12" s="34">
        <f>IF(((AND(C69&gt;0,C12&gt;0))),(C12/(C69)),0)</f>
        <v>66.666666666666671</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1</v>
      </c>
      <c r="R12" s="42">
        <f t="shared" si="5"/>
        <v>3</v>
      </c>
      <c r="S12" s="30">
        <f t="shared" si="6"/>
        <v>0</v>
      </c>
      <c r="T12" s="30">
        <f t="shared" si="7"/>
        <v>0</v>
      </c>
      <c r="U12" s="31" t="str">
        <f t="shared" si="8"/>
        <v>- -</v>
      </c>
    </row>
    <row r="13" spans="2:21" ht="18" customHeight="1">
      <c r="B13" s="32" t="str">
        <f>'Data Entry'!A13</f>
        <v>8. Cases Resulting in Probation Placement</v>
      </c>
      <c r="C13" s="33">
        <f>'Data Entry'!C13</f>
        <v>4</v>
      </c>
      <c r="D13" s="34">
        <f>IF(((AND(C70&gt;0,C13&gt;0))),(C13/(C70)),0)</f>
        <v>200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0.59199999999999997</v>
      </c>
      <c r="D42" s="56">
        <f>E6/1000</f>
        <v>2E-3</v>
      </c>
      <c r="E42" s="56">
        <f>MAX(C42:D42)</f>
        <v>0.59199999999999997</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0.06</v>
      </c>
      <c r="D44" s="56">
        <f>E8/100</f>
        <v>0</v>
      </c>
      <c r="E44" s="56">
        <f>MAX(C44:D44,0)</f>
        <v>0.06</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0.02</v>
      </c>
      <c r="D46" s="49">
        <f>E12/100</f>
        <v>0</v>
      </c>
      <c r="E46" s="56">
        <f>MAX(C46:D46)</f>
        <v>0.02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0.59199999999999997</v>
      </c>
      <c r="D48" s="56">
        <f>D42</f>
        <v>2E-3</v>
      </c>
      <c r="E48" s="56">
        <f>MAX(C48:D48)</f>
        <v>0.59199999999999997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0.59199999999999997</v>
      </c>
      <c r="D54" s="56">
        <f>D48</f>
        <v>2E-3</v>
      </c>
      <c r="E54" s="56">
        <f>MAX(C54:D54)</f>
        <v>0.59199999999999997</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0.06</v>
      </c>
      <c r="D56" s="49">
        <f t="shared" si="10"/>
        <v>0</v>
      </c>
      <c r="E56" s="49">
        <f>MAX(C56:D56)</f>
        <v>0.06</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0.59199999999999997</v>
      </c>
      <c r="D60" s="56">
        <f>D54</f>
        <v>2E-3</v>
      </c>
      <c r="E60" s="56">
        <f>MAX(C60:D60)</f>
        <v>0.59199999999999997</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0.06</v>
      </c>
      <c r="D62" s="49">
        <f t="shared" si="11"/>
        <v>0</v>
      </c>
      <c r="E62" s="49">
        <f>MAX(C62:D62)</f>
        <v>0.06</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0.59199999999999997</v>
      </c>
      <c r="D66" s="56">
        <f>D60</f>
        <v>2E-3</v>
      </c>
      <c r="E66" s="56">
        <f>MAX(C66:D66)</f>
        <v>0.59199999999999997</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0.06</v>
      </c>
      <c r="D68" s="49">
        <f t="shared" si="12"/>
        <v>0</v>
      </c>
      <c r="E68" s="49">
        <f>MAX(C68:D68)</f>
        <v>0.06</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Alcona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592</v>
      </c>
      <c r="D6" s="34"/>
      <c r="E6" s="33">
        <f>'Data Entry'!E6</f>
        <v>24</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3.3783783783783785</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24</v>
      </c>
      <c r="P7" s="42">
        <f t="shared" ref="P7:P15" si="4">C7</f>
        <v>2</v>
      </c>
      <c r="Q7" s="42">
        <f>C6-C7</f>
        <v>590</v>
      </c>
      <c r="R7" s="42">
        <f t="shared" ref="R7:R15" si="5">SUM(N7:Q7)</f>
        <v>616</v>
      </c>
      <c r="S7" s="30">
        <f t="shared" ref="S7:S15" si="6">R7*((((N7*Q7)-(O7*P7))^2))</f>
        <v>1419264</v>
      </c>
      <c r="T7" s="30">
        <f t="shared" ref="T7:T15" si="7">(N7+O7)*(P7+Q7)*(N7+P7)*(O7+Q7)</f>
        <v>17447424</v>
      </c>
      <c r="U7" s="31">
        <f t="shared" ref="U7:U15" si="8">IF((S7&gt;0),S7/T7,"- -")</f>
        <v>8.1345188837045515E-2</v>
      </c>
    </row>
    <row r="8" spans="2:21" ht="18" customHeight="1">
      <c r="B8" s="32" t="str">
        <f>'Data Entry'!A8</f>
        <v>3. Refer to Juvenile Court</v>
      </c>
      <c r="C8" s="33">
        <f>'Data Entry'!C8</f>
        <v>6</v>
      </c>
      <c r="D8" s="34">
        <f>IF((AND(C67&gt;0,C8&gt;0)),(C8/C67),0)</f>
        <v>300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v>
      </c>
      <c r="Q8" s="42">
        <f>(C$67*L67)-C8</f>
        <v>-4</v>
      </c>
      <c r="R8" s="42">
        <f t="shared" si="5"/>
        <v>2.0499999999999998</v>
      </c>
      <c r="S8" s="30">
        <f t="shared" si="6"/>
        <v>0.18450000000000003</v>
      </c>
      <c r="T8" s="30">
        <f t="shared" si="7"/>
        <v>-2.3700000000000006</v>
      </c>
      <c r="U8" s="31">
        <f t="shared" si="8"/>
        <v>-7.7848101265822783E-2</v>
      </c>
    </row>
    <row r="9" spans="2:21" ht="18" customHeight="1">
      <c r="B9" s="32" t="str">
        <f>'Data Entry'!A9</f>
        <v xml:space="preserve">4. Cases Diverted </v>
      </c>
      <c r="C9" s="33">
        <f>'Data Entry'!C9</f>
        <v>1</v>
      </c>
      <c r="D9" s="34">
        <f>IF((AND(C68&gt;0,C9&gt;0)),((C9/C68)),0)</f>
        <v>16.666666666666668</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5</v>
      </c>
      <c r="R9" s="42">
        <f t="shared" si="5"/>
        <v>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50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v>
      </c>
      <c r="Q11" s="42">
        <f>(C$68*L68)-C11</f>
        <v>3</v>
      </c>
      <c r="R11" s="42">
        <f t="shared" si="5"/>
        <v>6</v>
      </c>
      <c r="S11" s="30">
        <f t="shared" si="6"/>
        <v>0</v>
      </c>
      <c r="T11" s="30">
        <f t="shared" si="7"/>
        <v>0</v>
      </c>
      <c r="U11" s="31" t="str">
        <f t="shared" si="8"/>
        <v>- -</v>
      </c>
    </row>
    <row r="12" spans="2:21" ht="18" customHeight="1">
      <c r="B12" s="32" t="str">
        <f>'Data Entry'!A12</f>
        <v>7. Cases Resulting in Delinquent Findings</v>
      </c>
      <c r="C12" s="33">
        <f>'Data Entry'!C12</f>
        <v>2</v>
      </c>
      <c r="D12" s="34">
        <f>IF(((AND(C69&gt;0,C12&gt;0))),(C12/(C69)),0)</f>
        <v>66.666666666666671</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1</v>
      </c>
      <c r="R12" s="42">
        <f t="shared" si="5"/>
        <v>3</v>
      </c>
      <c r="S12" s="30">
        <f t="shared" si="6"/>
        <v>0</v>
      </c>
      <c r="T12" s="30">
        <f t="shared" si="7"/>
        <v>0</v>
      </c>
      <c r="U12" s="31" t="str">
        <f t="shared" si="8"/>
        <v>- -</v>
      </c>
    </row>
    <row r="13" spans="2:21" ht="18" customHeight="1">
      <c r="B13" s="32" t="str">
        <f>'Data Entry'!A13</f>
        <v>8. Cases Resulting in Probation Placement</v>
      </c>
      <c r="C13" s="33">
        <f>'Data Entry'!C13</f>
        <v>4</v>
      </c>
      <c r="D13" s="34">
        <f>IF(((AND(C70&gt;0,C13&gt;0))),(C13/(C70)),0)</f>
        <v>200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0.59199999999999997</v>
      </c>
      <c r="D42" s="56">
        <f>E6/1000</f>
        <v>2.4E-2</v>
      </c>
      <c r="E42" s="56">
        <f>MAX(C42:D42)</f>
        <v>0.59199999999999997</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0.06</v>
      </c>
      <c r="D44" s="56">
        <f>E8/100</f>
        <v>0</v>
      </c>
      <c r="E44" s="56">
        <f>MAX(C44:D44,0)</f>
        <v>0.06</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0.02</v>
      </c>
      <c r="D46" s="49">
        <f>E12/100</f>
        <v>0</v>
      </c>
      <c r="E46" s="56">
        <f>MAX(C46:D46)</f>
        <v>0.02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0.59199999999999997</v>
      </c>
      <c r="D48" s="56">
        <f>D42</f>
        <v>2.4E-2</v>
      </c>
      <c r="E48" s="56">
        <f>MAX(C48:D48)</f>
        <v>0.59199999999999997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0.59199999999999997</v>
      </c>
      <c r="D54" s="56">
        <f>D48</f>
        <v>2.4E-2</v>
      </c>
      <c r="E54" s="56">
        <f>MAX(C54:D54)</f>
        <v>0.59199999999999997</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0.06</v>
      </c>
      <c r="D56" s="49">
        <f t="shared" si="10"/>
        <v>0</v>
      </c>
      <c r="E56" s="49">
        <f>MAX(C56:D56)</f>
        <v>0.06</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0.59199999999999997</v>
      </c>
      <c r="D60" s="56">
        <f>D54</f>
        <v>2.4E-2</v>
      </c>
      <c r="E60" s="56">
        <f>MAX(C60:D60)</f>
        <v>0.59199999999999997</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0.06</v>
      </c>
      <c r="D62" s="49">
        <f t="shared" si="11"/>
        <v>0</v>
      </c>
      <c r="E62" s="49">
        <f>MAX(C62:D62)</f>
        <v>0.06</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0.59199999999999997</v>
      </c>
      <c r="D66" s="56">
        <f>D60</f>
        <v>2.4E-2</v>
      </c>
      <c r="E66" s="56">
        <f>MAX(C66:D66)</f>
        <v>0.59199999999999997</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0.06</v>
      </c>
      <c r="D68" s="49">
        <f t="shared" si="12"/>
        <v>0</v>
      </c>
      <c r="E68" s="49">
        <f>MAX(C68:D68)</f>
        <v>0.06</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Alcona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3.3783783783783785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590</v>
      </c>
      <c r="R7" s="42">
        <f t="shared" ref="R7:R15" si="5">SUM(N7:Q7)</f>
        <v>592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v>
      </c>
      <c r="D8" s="34">
        <f>IF((AND(C67&gt;0,C8&gt;0)),(C8/C67),0)</f>
        <v>300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v>
      </c>
      <c r="Q8" s="42">
        <f>(C$67*L67)-C8</f>
        <v>-4</v>
      </c>
      <c r="R8" s="42">
        <f t="shared" si="5"/>
        <v>2.0499999999999998</v>
      </c>
      <c r="S8" s="30">
        <f t="shared" si="6"/>
        <v>0.18450000000000003</v>
      </c>
      <c r="T8" s="30">
        <f t="shared" si="7"/>
        <v>-2.3700000000000006</v>
      </c>
      <c r="U8" s="31">
        <f t="shared" si="8"/>
        <v>-7.7848101265822783E-2</v>
      </c>
    </row>
    <row r="9" spans="2:21" ht="18" customHeight="1">
      <c r="B9" s="32" t="str">
        <f>'Data Entry'!A9</f>
        <v xml:space="preserve">4. Cases Diverted </v>
      </c>
      <c r="C9" s="33">
        <f>'Data Entry'!C9</f>
        <v>1</v>
      </c>
      <c r="D9" s="34">
        <f>IF((AND(C68&gt;0,C9&gt;0)),((C9/C68)),0)</f>
        <v>16.666666666666668</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5</v>
      </c>
      <c r="R9" s="42">
        <f t="shared" si="5"/>
        <v>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50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v>
      </c>
      <c r="Q11" s="42">
        <f>(C$68*L68)-C11</f>
        <v>3</v>
      </c>
      <c r="R11" s="42">
        <f t="shared" si="5"/>
        <v>6</v>
      </c>
      <c r="S11" s="30">
        <f t="shared" si="6"/>
        <v>0</v>
      </c>
      <c r="T11" s="30">
        <f t="shared" si="7"/>
        <v>0</v>
      </c>
      <c r="U11" s="31" t="str">
        <f t="shared" si="8"/>
        <v>- -</v>
      </c>
    </row>
    <row r="12" spans="2:21" ht="18" customHeight="1">
      <c r="B12" s="32" t="str">
        <f>'Data Entry'!A12</f>
        <v>7. Cases Resulting in Delinquent Findings</v>
      </c>
      <c r="C12" s="33">
        <f>'Data Entry'!C12</f>
        <v>2</v>
      </c>
      <c r="D12" s="34">
        <f>IF(((AND(C69&gt;0,C12&gt;0))),(C12/(C69)),0)</f>
        <v>66.666666666666671</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1</v>
      </c>
      <c r="R12" s="42">
        <f t="shared" si="5"/>
        <v>3</v>
      </c>
      <c r="S12" s="30">
        <f t="shared" si="6"/>
        <v>0</v>
      </c>
      <c r="T12" s="30">
        <f t="shared" si="7"/>
        <v>0</v>
      </c>
      <c r="U12" s="31" t="str">
        <f t="shared" si="8"/>
        <v>- -</v>
      </c>
    </row>
    <row r="13" spans="2:21" ht="18" customHeight="1">
      <c r="B13" s="32" t="str">
        <f>'Data Entry'!A13</f>
        <v>8. Cases Resulting in Probation Placement</v>
      </c>
      <c r="C13" s="33">
        <f>'Data Entry'!C13</f>
        <v>4</v>
      </c>
      <c r="D13" s="34">
        <f>IF(((AND(C70&gt;0,C13&gt;0))),(C13/(C70)),0)</f>
        <v>200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0.59199999999999997</v>
      </c>
      <c r="D42" s="56">
        <f>E6/1000</f>
        <v>0</v>
      </c>
      <c r="E42" s="56">
        <f>MAX(C42:D42)</f>
        <v>0.59199999999999997</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0.06</v>
      </c>
      <c r="D44" s="56">
        <f>E8/100</f>
        <v>0</v>
      </c>
      <c r="E44" s="56">
        <f>MAX(C44:D44,0)</f>
        <v>0.06</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0.02</v>
      </c>
      <c r="D46" s="49">
        <f>E12/100</f>
        <v>0</v>
      </c>
      <c r="E46" s="56">
        <f>MAX(C46:D46)</f>
        <v>0.02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0.59199999999999997</v>
      </c>
      <c r="D48" s="56">
        <f>D42</f>
        <v>0</v>
      </c>
      <c r="E48" s="56">
        <f>MAX(C48:D48)</f>
        <v>0.59199999999999997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0.59199999999999997</v>
      </c>
      <c r="D54" s="56">
        <f>D48</f>
        <v>0</v>
      </c>
      <c r="E54" s="56">
        <f>MAX(C54:D54)</f>
        <v>0.59199999999999997</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0.06</v>
      </c>
      <c r="D56" s="49">
        <f t="shared" si="10"/>
        <v>0</v>
      </c>
      <c r="E56" s="49">
        <f>MAX(C56:D56)</f>
        <v>0.06</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0.59199999999999997</v>
      </c>
      <c r="D60" s="56">
        <f>D54</f>
        <v>0</v>
      </c>
      <c r="E60" s="56">
        <f>MAX(C60:D60)</f>
        <v>0.59199999999999997</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0.06</v>
      </c>
      <c r="D62" s="49">
        <f t="shared" si="11"/>
        <v>0</v>
      </c>
      <c r="E62" s="49">
        <f>MAX(C62:D62)</f>
        <v>0.06</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0.59199999999999997</v>
      </c>
      <c r="D66" s="56">
        <f>D60</f>
        <v>0</v>
      </c>
      <c r="E66" s="56">
        <f>MAX(C66:D66)</f>
        <v>0.59199999999999997</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0.06</v>
      </c>
      <c r="D68" s="49">
        <f t="shared" si="12"/>
        <v>0</v>
      </c>
      <c r="E68" s="49">
        <f>MAX(C68:D68)</f>
        <v>0.06</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Alcona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592</v>
      </c>
      <c r="D6" s="34"/>
      <c r="E6" s="33">
        <f>'Data Entry'!H6</f>
        <v>9</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3.3783783783783785</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9</v>
      </c>
      <c r="P7" s="42">
        <f t="shared" ref="P7:P15" si="4">C7</f>
        <v>2</v>
      </c>
      <c r="Q7" s="42">
        <f>C6-C7</f>
        <v>590</v>
      </c>
      <c r="R7" s="42">
        <f t="shared" ref="R7:R15" si="5">SUM(N7:Q7)</f>
        <v>601</v>
      </c>
      <c r="S7" s="30">
        <f t="shared" ref="S7:S15" si="6">R7*((((N7*Q7)-(O7*P7))^2))</f>
        <v>194724</v>
      </c>
      <c r="T7" s="30">
        <f t="shared" ref="T7:T15" si="7">(N7+O7)*(P7+Q7)*(N7+P7)*(O7+Q7)</f>
        <v>6382944</v>
      </c>
      <c r="U7" s="31">
        <f t="shared" ref="U7:U15" si="8">IF((S7&gt;0),S7/T7,"- -")</f>
        <v>3.0506925957677209E-2</v>
      </c>
    </row>
    <row r="8" spans="2:21" ht="18" customHeight="1">
      <c r="B8" s="32" t="str">
        <f>'Data Entry'!A8</f>
        <v>3. Refer to Juvenile Court</v>
      </c>
      <c r="C8" s="33">
        <f>'Data Entry'!C8</f>
        <v>6</v>
      </c>
      <c r="D8" s="34">
        <f>IF((AND(C67&gt;0,C8&gt;0)),(C8/C67),0)</f>
        <v>300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v>
      </c>
      <c r="Q8" s="42">
        <f>(C$67*L67)-C8</f>
        <v>-4</v>
      </c>
      <c r="R8" s="42">
        <f t="shared" si="5"/>
        <v>2.0499999999999998</v>
      </c>
      <c r="S8" s="30">
        <f t="shared" si="6"/>
        <v>0.18450000000000003</v>
      </c>
      <c r="T8" s="30">
        <f t="shared" si="7"/>
        <v>-2.3700000000000006</v>
      </c>
      <c r="U8" s="31">
        <f t="shared" si="8"/>
        <v>-7.7848101265822783E-2</v>
      </c>
    </row>
    <row r="9" spans="2:21" ht="18" customHeight="1">
      <c r="B9" s="32" t="str">
        <f>'Data Entry'!A9</f>
        <v xml:space="preserve">4. Cases Diverted </v>
      </c>
      <c r="C9" s="33">
        <f>'Data Entry'!C9</f>
        <v>1</v>
      </c>
      <c r="D9" s="34">
        <f>IF((AND(C68&gt;0,C9&gt;0)),((C9/C68)),0)</f>
        <v>16.666666666666668</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5</v>
      </c>
      <c r="R9" s="42">
        <f t="shared" si="5"/>
        <v>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50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v>
      </c>
      <c r="Q11" s="42">
        <f>(C$68*L68)-C11</f>
        <v>3</v>
      </c>
      <c r="R11" s="42">
        <f t="shared" si="5"/>
        <v>6</v>
      </c>
      <c r="S11" s="30">
        <f t="shared" si="6"/>
        <v>0</v>
      </c>
      <c r="T11" s="30">
        <f t="shared" si="7"/>
        <v>0</v>
      </c>
      <c r="U11" s="31" t="str">
        <f t="shared" si="8"/>
        <v>- -</v>
      </c>
    </row>
    <row r="12" spans="2:21" ht="18" customHeight="1">
      <c r="B12" s="32" t="str">
        <f>'Data Entry'!A12</f>
        <v>7. Cases Resulting in Delinquent Findings</v>
      </c>
      <c r="C12" s="33">
        <f>'Data Entry'!C12</f>
        <v>2</v>
      </c>
      <c r="D12" s="34">
        <f>IF(((AND(C69&gt;0,C12&gt;0))),(C12/(C69)),0)</f>
        <v>66.666666666666671</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1</v>
      </c>
      <c r="R12" s="42">
        <f t="shared" si="5"/>
        <v>3</v>
      </c>
      <c r="S12" s="30">
        <f t="shared" si="6"/>
        <v>0</v>
      </c>
      <c r="T12" s="30">
        <f t="shared" si="7"/>
        <v>0</v>
      </c>
      <c r="U12" s="31" t="str">
        <f t="shared" si="8"/>
        <v>- -</v>
      </c>
    </row>
    <row r="13" spans="2:21" ht="18" customHeight="1">
      <c r="B13" s="32" t="str">
        <f>'Data Entry'!A13</f>
        <v>8. Cases Resulting in Probation Placement</v>
      </c>
      <c r="C13" s="33">
        <f>'Data Entry'!C13</f>
        <v>4</v>
      </c>
      <c r="D13" s="34">
        <f>IF(((AND(C70&gt;0,C13&gt;0))),(C13/(C70)),0)</f>
        <v>200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0.59199999999999997</v>
      </c>
      <c r="D42" s="56">
        <f>E6/1000</f>
        <v>8.9999999999999993E-3</v>
      </c>
      <c r="E42" s="56">
        <f>MAX(C42:D42)</f>
        <v>0.59199999999999997</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0.06</v>
      </c>
      <c r="D44" s="56">
        <f>E8/100</f>
        <v>0</v>
      </c>
      <c r="E44" s="56">
        <f>MAX(C44:D44,0)</f>
        <v>0.06</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0.02</v>
      </c>
      <c r="D46" s="49">
        <f>E12/100</f>
        <v>0</v>
      </c>
      <c r="E46" s="56">
        <f>MAX(C46:D46)</f>
        <v>0.02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0.59199999999999997</v>
      </c>
      <c r="D48" s="56">
        <f>D42</f>
        <v>8.9999999999999993E-3</v>
      </c>
      <c r="E48" s="56">
        <f>MAX(C48:D48)</f>
        <v>0.59199999999999997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0.59199999999999997</v>
      </c>
      <c r="D54" s="56">
        <f>D48</f>
        <v>8.9999999999999993E-3</v>
      </c>
      <c r="E54" s="56">
        <f>MAX(C54:D54)</f>
        <v>0.59199999999999997</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0.06</v>
      </c>
      <c r="D56" s="49">
        <f t="shared" si="10"/>
        <v>0</v>
      </c>
      <c r="E56" s="49">
        <f>MAX(C56:D56)</f>
        <v>0.06</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0.59199999999999997</v>
      </c>
      <c r="D60" s="56">
        <f>D54</f>
        <v>8.9999999999999993E-3</v>
      </c>
      <c r="E60" s="56">
        <f>MAX(C60:D60)</f>
        <v>0.59199999999999997</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0.06</v>
      </c>
      <c r="D62" s="49">
        <f t="shared" si="11"/>
        <v>0</v>
      </c>
      <c r="E62" s="49">
        <f>MAX(C62:D62)</f>
        <v>0.06</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0.59199999999999997</v>
      </c>
      <c r="D66" s="56">
        <f>D60</f>
        <v>8.9999999999999993E-3</v>
      </c>
      <c r="E66" s="56">
        <f>MAX(C66:D66)</f>
        <v>0.59199999999999997</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0.06</v>
      </c>
      <c r="D68" s="49">
        <f t="shared" si="12"/>
        <v>0</v>
      </c>
      <c r="E68" s="49">
        <f>MAX(C68:D68)</f>
        <v>0.06</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608733e283443d8390c6caf5265cb92f">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2c6c828e95003de4308dd0402143b80f"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U47JMPN4QEAR-1806752177-30429</_dlc_DocId>
    <_dlc_DocIdUrl xmlns="ac3811b5-0f3e-49e2-ba69-f2ffa0c782af">
      <Url>https://michiganphi.sharepoint.com/sites/CMDMC/_layouts/15/DocIdRedir.aspx?ID=U47JMPN4QEAR-1806752177-30429</Url>
      <Description>U47JMPN4QEAR-1806752177-30429</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666F15D-862F-4723-9EB8-FAE653EBD5A5}">
  <ds:schemaRefs>
    <ds:schemaRef ds:uri="http://schemas.microsoft.com/sharepoint/v3/contenttype/forms"/>
  </ds:schemaRefs>
</ds:datastoreItem>
</file>

<file path=customXml/itemProps2.xml><?xml version="1.0" encoding="utf-8"?>
<ds:datastoreItem xmlns:ds="http://schemas.openxmlformats.org/officeDocument/2006/customXml" ds:itemID="{147A207A-4F35-4FB8-BB83-1BB922489F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3811b5-0f3e-49e2-ba69-f2ffa0c782af"/>
    <ds:schemaRef ds:uri="738f5db5-75d9-4d31-a801-79680892ab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CCC99E-764D-410B-848D-9F2557FF158C}">
  <ds:schemaRefs>
    <ds:schemaRef ds:uri="http://purl.org/dc/dcmitype/"/>
    <ds:schemaRef ds:uri="http://www.w3.org/XML/1998/namespace"/>
    <ds:schemaRef ds:uri="http://purl.org/dc/elements/1.1/"/>
    <ds:schemaRef ds:uri="738f5db5-75d9-4d31-a801-79680892ab9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ac3811b5-0f3e-49e2-ba69-f2ffa0c782af"/>
    <ds:schemaRef ds:uri="http://purl.org/dc/terms/"/>
  </ds:schemaRefs>
</ds:datastoreItem>
</file>

<file path=customXml/itemProps4.xml><?xml version="1.0" encoding="utf-8"?>
<ds:datastoreItem xmlns:ds="http://schemas.openxmlformats.org/officeDocument/2006/customXml" ds:itemID="{79703D7A-CE54-45AF-A9BB-306E85DC4EE8}">
  <ds:schemaRefs>
    <ds:schemaRef ds:uri="http://schemas.microsoft.com/sharepoint/events"/>
  </ds:schemaRefs>
</ds:datastoreItem>
</file>

<file path=docMetadata/LabelInfo.xml><?xml version="1.0" encoding="utf-8"?>
<clbl:labelList xmlns:clbl="http://schemas.microsoft.com/office/2020/mipLabelMetadata">
  <clbl:label id="{61356d44-baf7-4c51-9f34-1736d592de37}" enabled="1" method="Standard" siteId="{a4405b41-6d4f-4d51-90dd-22ba251725f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Shaohui Zhai</cp:lastModifiedBy>
  <cp:lastPrinted>2013-05-09T15:54:08Z</cp:lastPrinted>
  <dcterms:created xsi:type="dcterms:W3CDTF">2002-11-18T06:04:28Z</dcterms:created>
  <dcterms:modified xsi:type="dcterms:W3CDTF">2024-08-22T20:59:46Z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e1b02f5b-9425-4474-b80f-d27c433698b9</vt:lpwstr>
  </property>
</Properties>
</file>